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uleuxl19d\Documents\0000000000000000000000\"/>
    </mc:Choice>
  </mc:AlternateContent>
  <bookViews>
    <workbookView xWindow="0" yWindow="120" windowWidth="19200" windowHeight="7185" tabRatio="777" firstSheet="1" activeTab="10"/>
  </bookViews>
  <sheets>
    <sheet name="Report stocks_2018 (2)" sheetId="12" state="hidden" r:id="rId1"/>
    <sheet name="Accueil" sheetId="15" r:id="rId2"/>
    <sheet name="Report stocks_2018" sheetId="10" r:id="rId3"/>
    <sheet name="Fourrages  2019" sheetId="13" r:id="rId4"/>
    <sheet name="Consommation 2019" sheetId="18" r:id="rId5"/>
    <sheet name="Besoins animaux" sheetId="4" r:id="rId6"/>
    <sheet name="impression (2)" sheetId="17" state="hidden" r:id="rId7"/>
    <sheet name="Bilan 2" sheetId="14" state="hidden" r:id="rId8"/>
    <sheet name="références et tables de densité" sheetId="8" state="hidden" r:id="rId9"/>
    <sheet name="Bilan" sheetId="19" r:id="rId10"/>
    <sheet name="Feuille pour DDT" sheetId="16" r:id="rId11"/>
  </sheets>
  <definedNames>
    <definedName name="Excel_BuiltIn_Print_Area_1" localSheetId="9">#REF!</definedName>
    <definedName name="Excel_BuiltIn_Print_Area_1" localSheetId="4">'Consommation 2019'!$B$1:$H$73</definedName>
    <definedName name="Excel_BuiltIn_Print_Area_1" localSheetId="3">'Fourrages  2019'!$B$1:$H$163</definedName>
    <definedName name="Excel_BuiltIn_Print_Area_1" localSheetId="6">#REF!</definedName>
    <definedName name="Excel_BuiltIn_Print_Area_1" localSheetId="2">'Report stocks_2018'!$B$1:$H$93</definedName>
    <definedName name="Excel_BuiltIn_Print_Area_1" localSheetId="0">'Report stocks_2018 (2)'!$B$1:$H$106</definedName>
    <definedName name="Excel_BuiltIn_Print_Area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0" l="1"/>
  <c r="G21" i="10"/>
  <c r="G19" i="10"/>
  <c r="G17" i="10"/>
  <c r="G15" i="18"/>
  <c r="G13" i="18"/>
  <c r="G11" i="18"/>
  <c r="G102" i="13"/>
  <c r="G100" i="13"/>
  <c r="G98" i="13"/>
  <c r="G96" i="13"/>
  <c r="G94" i="13"/>
  <c r="G92" i="13"/>
  <c r="G19" i="13"/>
  <c r="G17" i="13"/>
  <c r="G15" i="10"/>
  <c r="G13" i="10"/>
  <c r="G13" i="13"/>
  <c r="M158" i="17" l="1"/>
  <c r="G23" i="13"/>
  <c r="G15" i="13"/>
  <c r="G21" i="13"/>
  <c r="G9" i="13" l="1"/>
  <c r="G9" i="18" l="1"/>
  <c r="I105" i="13"/>
  <c r="I103" i="13"/>
  <c r="I16" i="18"/>
  <c r="I26" i="13"/>
  <c r="I24" i="13"/>
  <c r="I24" i="10"/>
  <c r="I26" i="10"/>
  <c r="G9" i="10"/>
  <c r="E136" i="17" l="1"/>
  <c r="E132" i="17"/>
  <c r="G132" i="17" s="1"/>
  <c r="G133" i="17" s="1"/>
  <c r="U69" i="17"/>
  <c r="E140" i="17" l="1"/>
  <c r="E141" i="17" s="1"/>
  <c r="I153" i="17" s="1"/>
  <c r="I154" i="17" s="1"/>
  <c r="G136" i="17" s="1"/>
  <c r="G137" i="17" s="1"/>
  <c r="J142" i="17" s="1"/>
  <c r="J143" i="17" s="1"/>
  <c r="I148" i="17" l="1"/>
  <c r="I149" i="17" s="1"/>
  <c r="I150" i="17" s="1"/>
  <c r="E148" i="17"/>
  <c r="E149" i="17" s="1"/>
  <c r="C148" i="17"/>
  <c r="V135" i="17"/>
  <c r="K18" i="19"/>
  <c r="H5" i="18"/>
  <c r="H5" i="10"/>
  <c r="H5" i="13" s="1"/>
  <c r="I10" i="14" l="1"/>
  <c r="H10" i="14"/>
  <c r="I125" i="13"/>
  <c r="I13" i="14" s="1"/>
  <c r="I123" i="13"/>
  <c r="H13" i="14" s="1"/>
  <c r="I121" i="13"/>
  <c r="I12" i="14" s="1"/>
  <c r="I119" i="13"/>
  <c r="H12" i="14" s="1"/>
  <c r="I117" i="13"/>
  <c r="I11" i="14" s="1"/>
  <c r="I115" i="13"/>
  <c r="H11" i="14" s="1"/>
  <c r="I113" i="13"/>
  <c r="I111" i="13"/>
  <c r="I109" i="13"/>
  <c r="I9" i="14" s="1"/>
  <c r="I107" i="13"/>
  <c r="H9" i="14" s="1"/>
  <c r="I8" i="14"/>
  <c r="H8" i="14"/>
  <c r="I101" i="13"/>
  <c r="I99" i="13"/>
  <c r="I97" i="13"/>
  <c r="I95" i="13"/>
  <c r="I93" i="13"/>
  <c r="I6" i="14" s="1"/>
  <c r="I91" i="13"/>
  <c r="H6" i="14" s="1"/>
  <c r="G90" i="13"/>
  <c r="I89" i="13" s="1"/>
  <c r="G88" i="13"/>
  <c r="I87" i="13" s="1"/>
  <c r="I52" i="13"/>
  <c r="I54" i="13"/>
  <c r="I56" i="13"/>
  <c r="I58" i="13"/>
  <c r="I60" i="13"/>
  <c r="I62" i="13"/>
  <c r="I64" i="13"/>
  <c r="I66" i="13"/>
  <c r="I68" i="13"/>
  <c r="I70" i="13"/>
  <c r="I72" i="13"/>
  <c r="I74" i="13"/>
  <c r="B76" i="13"/>
  <c r="I76" i="13"/>
  <c r="B78" i="13"/>
  <c r="I78" i="13"/>
  <c r="B80" i="13"/>
  <c r="I80" i="13"/>
  <c r="B82" i="13"/>
  <c r="I82" i="13"/>
  <c r="E9" i="4"/>
  <c r="I110" i="17"/>
  <c r="I111" i="17" s="1"/>
  <c r="I112" i="17" s="1"/>
  <c r="B9" i="16" s="1"/>
  <c r="L95" i="17"/>
  <c r="X91" i="17"/>
  <c r="X89" i="17"/>
  <c r="X80" i="17"/>
  <c r="X78" i="17"/>
  <c r="X76" i="17"/>
  <c r="X74" i="17"/>
  <c r="X72" i="17"/>
  <c r="X70" i="17"/>
  <c r="X69" i="17"/>
  <c r="X68" i="17"/>
  <c r="X58" i="17"/>
  <c r="X56" i="17"/>
  <c r="X55" i="17"/>
  <c r="X54" i="17"/>
  <c r="X52" i="17"/>
  <c r="X94" i="17" s="1"/>
  <c r="X66" i="17"/>
  <c r="U52" i="17"/>
  <c r="U54" i="17"/>
  <c r="U58" i="17"/>
  <c r="U56" i="17"/>
  <c r="U55" i="17"/>
  <c r="U70" i="17"/>
  <c r="U68" i="17"/>
  <c r="U72" i="17"/>
  <c r="U74" i="17"/>
  <c r="U76" i="17"/>
  <c r="U78" i="17"/>
  <c r="U80" i="17"/>
  <c r="U89" i="17"/>
  <c r="U91" i="17"/>
  <c r="U66" i="17"/>
  <c r="U94" i="17" l="1"/>
  <c r="P98" i="17" s="1"/>
  <c r="P99" i="17" s="1"/>
  <c r="I7" i="14"/>
  <c r="H7" i="14"/>
  <c r="I13" i="19"/>
  <c r="H13" i="19"/>
  <c r="G13" i="19"/>
  <c r="F13" i="19"/>
  <c r="C13" i="19"/>
  <c r="I12" i="19"/>
  <c r="H12" i="19"/>
  <c r="G12" i="19"/>
  <c r="F12" i="19"/>
  <c r="C12" i="19"/>
  <c r="I11" i="19"/>
  <c r="H11" i="19"/>
  <c r="G11" i="19"/>
  <c r="F11" i="19"/>
  <c r="C11" i="19"/>
  <c r="I10" i="19"/>
  <c r="H10" i="19"/>
  <c r="G10" i="19"/>
  <c r="F10" i="19"/>
  <c r="C10" i="19"/>
  <c r="I9" i="19"/>
  <c r="H9" i="19"/>
  <c r="G9" i="19"/>
  <c r="F9" i="19"/>
  <c r="C9" i="19"/>
  <c r="I8" i="19"/>
  <c r="H8" i="19"/>
  <c r="G8" i="19"/>
  <c r="F8" i="19"/>
  <c r="E8" i="19"/>
  <c r="C8" i="19"/>
  <c r="I7" i="19"/>
  <c r="H7" i="19"/>
  <c r="G7" i="19"/>
  <c r="F7" i="19"/>
  <c r="C7" i="19"/>
  <c r="I6" i="19"/>
  <c r="H6" i="19"/>
  <c r="G6" i="19"/>
  <c r="F6" i="19"/>
  <c r="C6" i="19"/>
  <c r="P109" i="17"/>
  <c r="P106" i="17"/>
  <c r="B30" i="18"/>
  <c r="I26" i="18"/>
  <c r="I24" i="18"/>
  <c r="I22" i="18"/>
  <c r="I20" i="18"/>
  <c r="I18" i="18"/>
  <c r="I14" i="18"/>
  <c r="I12" i="18"/>
  <c r="I10" i="18"/>
  <c r="I8" i="18"/>
  <c r="D5" i="18"/>
  <c r="B5" i="18"/>
  <c r="B33" i="16"/>
  <c r="D82" i="16"/>
  <c r="F73" i="16"/>
  <c r="F70" i="17"/>
  <c r="F70" i="16" s="1"/>
  <c r="F69" i="17"/>
  <c r="F69" i="16" s="1"/>
  <c r="F68" i="17"/>
  <c r="F68" i="16" s="1"/>
  <c r="F67" i="17"/>
  <c r="F67" i="16" s="1"/>
  <c r="F66" i="17"/>
  <c r="F66" i="16" s="1"/>
  <c r="F76" i="17"/>
  <c r="F76" i="16" s="1"/>
  <c r="F82" i="17"/>
  <c r="F82" i="16" s="1"/>
  <c r="D82" i="17"/>
  <c r="L100" i="13"/>
  <c r="L99" i="13"/>
  <c r="L96" i="13"/>
  <c r="L97" i="13"/>
  <c r="D70" i="17"/>
  <c r="D70" i="16" s="1"/>
  <c r="D69" i="17"/>
  <c r="D69" i="16" s="1"/>
  <c r="D68" i="17"/>
  <c r="D68" i="16" s="1"/>
  <c r="D67" i="17"/>
  <c r="D67" i="16" s="1"/>
  <c r="D66" i="17"/>
  <c r="D66" i="16" s="1"/>
  <c r="B9" i="4"/>
  <c r="H9" i="4"/>
  <c r="D5" i="13"/>
  <c r="B5" i="13"/>
  <c r="D5" i="10"/>
  <c r="F62" i="16"/>
  <c r="F62" i="17"/>
  <c r="D62" i="17"/>
  <c r="D62" i="16" s="1"/>
  <c r="F61" i="17"/>
  <c r="F61" i="16" s="1"/>
  <c r="F60" i="17"/>
  <c r="F60" i="16" s="1"/>
  <c r="F58" i="17"/>
  <c r="F58" i="16" s="1"/>
  <c r="F56" i="17"/>
  <c r="F56" i="16" s="1"/>
  <c r="F54" i="17"/>
  <c r="F54" i="16" s="1"/>
  <c r="F20" i="17"/>
  <c r="F20" i="16"/>
  <c r="D54" i="16"/>
  <c r="D76" i="17"/>
  <c r="D73" i="17"/>
  <c r="D61" i="17"/>
  <c r="D61" i="16" s="1"/>
  <c r="D60" i="17"/>
  <c r="D60" i="16" s="1"/>
  <c r="D58" i="17"/>
  <c r="D58" i="16" s="1"/>
  <c r="D56" i="17"/>
  <c r="D56" i="16" s="1"/>
  <c r="D54" i="17"/>
  <c r="C20" i="17"/>
  <c r="C20" i="16" s="1"/>
  <c r="C17" i="17"/>
  <c r="C17" i="16" s="1"/>
  <c r="C16" i="17"/>
  <c r="C16" i="16" s="1"/>
  <c r="C15" i="17"/>
  <c r="C15" i="16" s="1"/>
  <c r="C14" i="17"/>
  <c r="C14" i="16" s="1"/>
  <c r="C13" i="17"/>
  <c r="C13" i="16" s="1"/>
  <c r="C11" i="17"/>
  <c r="C11" i="16" s="1"/>
  <c r="B9" i="17"/>
  <c r="B7" i="17"/>
  <c r="F6" i="17"/>
  <c r="F6" i="16" s="1"/>
  <c r="E6" i="17"/>
  <c r="F5" i="17"/>
  <c r="F5" i="16" s="1"/>
  <c r="B5" i="17"/>
  <c r="D76" i="16"/>
  <c r="D73" i="16"/>
  <c r="B5" i="10"/>
  <c r="G14" i="19" l="1"/>
  <c r="K8" i="19"/>
  <c r="M53" i="17"/>
  <c r="M52" i="17"/>
  <c r="N52" i="17" s="1"/>
  <c r="F14" i="19"/>
  <c r="I33" i="18"/>
  <c r="I14" i="19"/>
  <c r="B86" i="17"/>
  <c r="B86" i="16" s="1"/>
  <c r="H14" i="19"/>
  <c r="I37" i="18"/>
  <c r="B5" i="16"/>
  <c r="E6" i="16"/>
  <c r="B7" i="16"/>
  <c r="G13" i="14" l="1"/>
  <c r="G12" i="14"/>
  <c r="G11" i="14"/>
  <c r="G10" i="14"/>
  <c r="G9" i="14"/>
  <c r="G8" i="14"/>
  <c r="G7" i="14"/>
  <c r="G6" i="14"/>
  <c r="F13" i="14"/>
  <c r="F12" i="14"/>
  <c r="F11" i="14"/>
  <c r="F10" i="14"/>
  <c r="F9" i="14"/>
  <c r="F8" i="14"/>
  <c r="F7" i="14"/>
  <c r="E10" i="14"/>
  <c r="E8" i="14"/>
  <c r="D11" i="14"/>
  <c r="C13" i="14"/>
  <c r="C12" i="14"/>
  <c r="C11" i="14"/>
  <c r="C10" i="14"/>
  <c r="C9" i="14"/>
  <c r="C8" i="14"/>
  <c r="C7" i="14"/>
  <c r="C6" i="14"/>
  <c r="F6" i="14"/>
  <c r="I46" i="13"/>
  <c r="E13" i="19" s="1"/>
  <c r="K13" i="19" s="1"/>
  <c r="I44" i="13"/>
  <c r="D13" i="19" s="1"/>
  <c r="J13" i="19" s="1"/>
  <c r="I42" i="13"/>
  <c r="E12" i="19" s="1"/>
  <c r="K12" i="19" s="1"/>
  <c r="I40" i="13"/>
  <c r="D12" i="19" s="1"/>
  <c r="J12" i="19" s="1"/>
  <c r="I38" i="13"/>
  <c r="E11" i="19" s="1"/>
  <c r="K11" i="19" s="1"/>
  <c r="I36" i="13"/>
  <c r="D11" i="19" s="1"/>
  <c r="J11" i="19" s="1"/>
  <c r="I34" i="13"/>
  <c r="E10" i="19" s="1"/>
  <c r="K10" i="19" s="1"/>
  <c r="I32" i="13"/>
  <c r="D10" i="19" s="1"/>
  <c r="J10" i="19" s="1"/>
  <c r="I30" i="13"/>
  <c r="E9" i="19" s="1"/>
  <c r="K9" i="19" s="1"/>
  <c r="I28" i="13"/>
  <c r="D9" i="19" s="1"/>
  <c r="J9" i="19" s="1"/>
  <c r="D8" i="19"/>
  <c r="I22" i="13"/>
  <c r="I20" i="13"/>
  <c r="I18" i="13"/>
  <c r="I16" i="13"/>
  <c r="I14" i="13"/>
  <c r="G11" i="13"/>
  <c r="I8" i="13"/>
  <c r="I46" i="10"/>
  <c r="I42" i="10"/>
  <c r="I38" i="10"/>
  <c r="I34" i="10"/>
  <c r="I36" i="10"/>
  <c r="I30" i="10"/>
  <c r="I22" i="10"/>
  <c r="I18" i="10"/>
  <c r="I14" i="10"/>
  <c r="G11" i="10"/>
  <c r="I10" i="10" s="1"/>
  <c r="B63" i="12"/>
  <c r="I60" i="12"/>
  <c r="B60" i="12"/>
  <c r="I58" i="12"/>
  <c r="B58" i="12"/>
  <c r="I56" i="12"/>
  <c r="I54" i="12"/>
  <c r="I52" i="12"/>
  <c r="I50" i="12"/>
  <c r="I48" i="12"/>
  <c r="I46" i="12"/>
  <c r="I42" i="12"/>
  <c r="B42" i="12"/>
  <c r="I40" i="12"/>
  <c r="B40" i="12"/>
  <c r="I38" i="12"/>
  <c r="I36" i="12"/>
  <c r="I34" i="12"/>
  <c r="I32" i="12"/>
  <c r="I30" i="12"/>
  <c r="I28" i="12"/>
  <c r="I23" i="12"/>
  <c r="I21" i="12"/>
  <c r="I19" i="12"/>
  <c r="I17" i="12"/>
  <c r="I15" i="12"/>
  <c r="I13" i="12"/>
  <c r="G12" i="12"/>
  <c r="I11" i="12"/>
  <c r="G10" i="12"/>
  <c r="I9" i="12" s="1"/>
  <c r="G8" i="12"/>
  <c r="I7" i="12"/>
  <c r="G6" i="12"/>
  <c r="I5" i="12" s="1"/>
  <c r="B50" i="10"/>
  <c r="I44" i="10"/>
  <c r="I40" i="10"/>
  <c r="I32" i="10"/>
  <c r="I28" i="10"/>
  <c r="I20" i="10"/>
  <c r="I12" i="10"/>
  <c r="I8" i="10"/>
  <c r="E9" i="14" l="1"/>
  <c r="D12" i="14"/>
  <c r="D9" i="14"/>
  <c r="D13" i="14"/>
  <c r="J13" i="14" s="1"/>
  <c r="E11" i="14"/>
  <c r="E13" i="14"/>
  <c r="D10" i="14"/>
  <c r="E12" i="14"/>
  <c r="K12" i="14" s="1"/>
  <c r="D7" i="19"/>
  <c r="J7" i="19" s="1"/>
  <c r="E7" i="19"/>
  <c r="K7" i="19" s="1"/>
  <c r="I10" i="13"/>
  <c r="E6" i="14" s="1"/>
  <c r="K6" i="14" s="1"/>
  <c r="F57" i="17"/>
  <c r="F57" i="16" s="1"/>
  <c r="F59" i="17"/>
  <c r="F59" i="16" s="1"/>
  <c r="N12" i="13"/>
  <c r="F55" i="17"/>
  <c r="F55" i="16" s="1"/>
  <c r="R12" i="13"/>
  <c r="P12" i="13"/>
  <c r="I12" i="13"/>
  <c r="D6" i="19" s="1"/>
  <c r="J6" i="19" s="1"/>
  <c r="O12" i="13"/>
  <c r="D59" i="17"/>
  <c r="D59" i="16" s="1"/>
  <c r="Q12" i="13"/>
  <c r="M12" i="13"/>
  <c r="D57" i="17"/>
  <c r="D57" i="16" s="1"/>
  <c r="D55" i="17"/>
  <c r="D55" i="16" s="1"/>
  <c r="E7" i="14"/>
  <c r="K7" i="14" s="1"/>
  <c r="D7" i="14"/>
  <c r="J7" i="14" s="1"/>
  <c r="D8" i="14"/>
  <c r="J8" i="19"/>
  <c r="K8" i="14"/>
  <c r="K9" i="14"/>
  <c r="K13" i="14"/>
  <c r="J12" i="14"/>
  <c r="K10" i="14"/>
  <c r="J9" i="14"/>
  <c r="K11" i="14"/>
  <c r="I14" i="14"/>
  <c r="F14" i="14"/>
  <c r="H14" i="14"/>
  <c r="G14" i="14"/>
  <c r="J11" i="14"/>
  <c r="J10" i="14"/>
  <c r="E6" i="19" l="1"/>
  <c r="D6" i="14"/>
  <c r="J6" i="14" s="1"/>
  <c r="D14" i="19"/>
  <c r="J14" i="19"/>
  <c r="E14" i="14"/>
  <c r="J8" i="14"/>
  <c r="K14" i="14"/>
  <c r="D14" i="14" l="1"/>
  <c r="K6" i="19"/>
  <c r="K14" i="19" s="1"/>
  <c r="E14" i="19"/>
  <c r="J14" i="14"/>
  <c r="Q125" i="17" s="1"/>
  <c r="F48" i="4"/>
  <c r="Q80" i="17" s="1"/>
  <c r="F46" i="4"/>
  <c r="Q78" i="17" s="1"/>
  <c r="F44" i="4"/>
  <c r="K46" i="4" l="1"/>
  <c r="K44" i="4"/>
  <c r="Q76" i="17"/>
  <c r="K48" i="4"/>
  <c r="E33" i="8"/>
  <c r="F40" i="8" s="1"/>
  <c r="G32" i="8"/>
  <c r="F28" i="8"/>
  <c r="F24" i="8"/>
  <c r="F19" i="8"/>
  <c r="F15" i="8"/>
  <c r="D37" i="14" l="1"/>
  <c r="D37" i="19"/>
  <c r="F35" i="8"/>
  <c r="D35" i="14"/>
  <c r="D35" i="19"/>
  <c r="D36" i="14"/>
  <c r="D36" i="19"/>
  <c r="F59" i="4"/>
  <c r="F57" i="4"/>
  <c r="F42" i="4"/>
  <c r="F40" i="4"/>
  <c r="F38" i="4"/>
  <c r="F37" i="4"/>
  <c r="F36" i="4"/>
  <c r="F34" i="4"/>
  <c r="F26" i="4"/>
  <c r="F24" i="4"/>
  <c r="F23" i="4"/>
  <c r="F22" i="4"/>
  <c r="F20" i="4"/>
  <c r="K38" i="4" l="1"/>
  <c r="Q70" i="17"/>
  <c r="K23" i="4"/>
  <c r="Q55" i="17"/>
  <c r="K36" i="4"/>
  <c r="Q68" i="17"/>
  <c r="K42" i="4"/>
  <c r="Q74" i="17"/>
  <c r="K26" i="4"/>
  <c r="Q58" i="17"/>
  <c r="K59" i="4"/>
  <c r="Q91" i="17"/>
  <c r="K34" i="4"/>
  <c r="Q66" i="17"/>
  <c r="K40" i="4"/>
  <c r="Q72" i="17"/>
  <c r="K24" i="4"/>
  <c r="Q56" i="17"/>
  <c r="K37" i="4"/>
  <c r="Q69" i="17"/>
  <c r="K57" i="4"/>
  <c r="Q89" i="17"/>
  <c r="K22" i="4"/>
  <c r="D24" i="14" s="1"/>
  <c r="Q54" i="17"/>
  <c r="K20" i="4"/>
  <c r="Q52" i="17"/>
  <c r="K50" i="4"/>
  <c r="F28" i="4"/>
  <c r="F61" i="4"/>
  <c r="K61" i="4" s="1"/>
  <c r="F50" i="4"/>
  <c r="D33" i="14" l="1"/>
  <c r="D33" i="19"/>
  <c r="D34" i="14"/>
  <c r="D34" i="19"/>
  <c r="Q94" i="17"/>
  <c r="Q101" i="17" s="1"/>
  <c r="D31" i="14"/>
  <c r="D31" i="19"/>
  <c r="D40" i="14"/>
  <c r="D40" i="19"/>
  <c r="D25" i="14"/>
  <c r="D25" i="19"/>
  <c r="D39" i="14"/>
  <c r="D39" i="19"/>
  <c r="D26" i="14"/>
  <c r="D26" i="19"/>
  <c r="D29" i="14"/>
  <c r="D29" i="19"/>
  <c r="D27" i="14"/>
  <c r="D27" i="19"/>
  <c r="D30" i="14"/>
  <c r="D30" i="19"/>
  <c r="D32" i="14"/>
  <c r="D32" i="19"/>
  <c r="D24" i="19"/>
  <c r="D23" i="14"/>
  <c r="D23" i="19"/>
  <c r="K28" i="4"/>
  <c r="K63" i="4" s="1"/>
  <c r="C22" i="17"/>
  <c r="C22" i="16" s="1"/>
  <c r="S94" i="17"/>
  <c r="D42" i="14" l="1"/>
  <c r="Q118" i="17" s="1"/>
  <c r="Q119" i="17" s="1"/>
  <c r="C23" i="17"/>
  <c r="C23" i="16" s="1"/>
  <c r="D42" i="19"/>
  <c r="D45" i="19" s="1"/>
  <c r="E45" i="19" s="1"/>
  <c r="D45" i="14"/>
  <c r="E45" i="14" s="1"/>
  <c r="M102" i="17"/>
  <c r="M104" i="17" s="1"/>
  <c r="M105" i="17" s="1"/>
  <c r="G34" i="14" s="1"/>
  <c r="G34" i="19" s="1"/>
  <c r="G33" i="14"/>
  <c r="G33" i="19" s="1"/>
  <c r="P125" i="17"/>
  <c r="Q126" i="17"/>
  <c r="S126" i="17" l="1"/>
  <c r="T126" i="17" s="1"/>
  <c r="T135" i="17" l="1"/>
  <c r="T137" i="17" s="1"/>
  <c r="M124" i="17" s="1"/>
  <c r="M110" i="17" l="1"/>
  <c r="M111" i="17" s="1"/>
  <c r="G26" i="14"/>
  <c r="G26" i="19" s="1"/>
  <c r="P135" i="17"/>
  <c r="P136" i="17" s="1"/>
  <c r="G29" i="14" s="1"/>
  <c r="G29" i="19" s="1"/>
  <c r="R129" i="17"/>
  <c r="R130" i="17" s="1"/>
  <c r="I23" i="14"/>
  <c r="M65" i="17" s="1"/>
  <c r="M66" i="17" s="1"/>
  <c r="N59" i="17"/>
  <c r="M125" i="17"/>
  <c r="M121" i="17" l="1"/>
  <c r="M122" i="17" s="1"/>
  <c r="G35" i="14" s="1"/>
  <c r="G35" i="19" s="1"/>
  <c r="G36" i="14"/>
  <c r="G36" i="19" s="1"/>
  <c r="K127" i="17"/>
  <c r="M115" i="17"/>
  <c r="M116" i="17" s="1"/>
  <c r="G31" i="14" s="1"/>
  <c r="I23" i="19"/>
  <c r="G27" i="14"/>
  <c r="G27" i="19" s="1"/>
  <c r="N60" i="17"/>
  <c r="G31" i="19" l="1"/>
  <c r="O60" i="17"/>
  <c r="G30" i="14"/>
  <c r="G30" i="19" s="1"/>
  <c r="I16" i="10" l="1"/>
  <c r="I57" i="10" s="1"/>
  <c r="B44" i="16" s="1"/>
  <c r="B44" i="17" l="1"/>
</calcChain>
</file>

<file path=xl/sharedStrings.xml><?xml version="1.0" encoding="utf-8"?>
<sst xmlns="http://schemas.openxmlformats.org/spreadsheetml/2006/main" count="822" uniqueCount="274">
  <si>
    <t>Nom de l' éleveur</t>
  </si>
  <si>
    <t>Département</t>
  </si>
  <si>
    <t>Commune</t>
  </si>
  <si>
    <t>A saisir</t>
  </si>
  <si>
    <t xml:space="preserve"> =</t>
  </si>
  <si>
    <t>Balles rondes</t>
  </si>
  <si>
    <t>Foin</t>
  </si>
  <si>
    <t>ha</t>
  </si>
  <si>
    <t>département</t>
  </si>
  <si>
    <t>commune</t>
  </si>
  <si>
    <t>TROUPEAU LAITIER</t>
  </si>
  <si>
    <t>T MS</t>
  </si>
  <si>
    <t/>
  </si>
  <si>
    <t>Kg MS / j / UGB (12kg par défaut)</t>
  </si>
  <si>
    <t>Nbre</t>
  </si>
  <si>
    <t>Coeff UGB</t>
  </si>
  <si>
    <t>UGB</t>
  </si>
  <si>
    <t>Durée (j)</t>
  </si>
  <si>
    <t>Vaches laitières</t>
  </si>
  <si>
    <t>T de MS</t>
  </si>
  <si>
    <t>Génisses&lt;1 an</t>
  </si>
  <si>
    <t>Génisses 1 à 2 ans</t>
  </si>
  <si>
    <t>Génisses&gt; 2ans</t>
  </si>
  <si>
    <t>Taurillons laitiers ou croisés</t>
  </si>
  <si>
    <t>TOTAL UGB</t>
  </si>
  <si>
    <t>Total</t>
  </si>
  <si>
    <t>TROUPEAU ALLAITANT</t>
  </si>
  <si>
    <t>Vaches allaitantes</t>
  </si>
  <si>
    <t>Mâles 1 à 2 ans</t>
  </si>
  <si>
    <t>Taurillons viande</t>
  </si>
  <si>
    <t>AUTRES ANIMAUX HERBIVORES</t>
  </si>
  <si>
    <t>Brebis</t>
  </si>
  <si>
    <t>Chèvres</t>
  </si>
  <si>
    <t>Total ensemble des troupeaux</t>
  </si>
  <si>
    <t>Consommations</t>
  </si>
  <si>
    <t>Autres</t>
  </si>
  <si>
    <t>Pensez à rajouter les achats d'animaux</t>
  </si>
  <si>
    <t>CALCUL DES STOCKS</t>
  </si>
  <si>
    <t>Tables</t>
  </si>
  <si>
    <t xml:space="preserve">A saisir </t>
  </si>
  <si>
    <t>Ensilages d'herbe</t>
  </si>
  <si>
    <t xml:space="preserve">     Silos couloir</t>
  </si>
  <si>
    <t>Hauteur moyenne (m)</t>
  </si>
  <si>
    <t>Teneur en Matière Sèche (%)</t>
  </si>
  <si>
    <t>Densité</t>
  </si>
  <si>
    <t xml:space="preserve">     Silos taupe</t>
  </si>
  <si>
    <t>Ensilages de maïs</t>
  </si>
  <si>
    <t>Valeurs estimées (en % de la MS)</t>
  </si>
  <si>
    <t xml:space="preserve">        Si vous la connaissez - </t>
  </si>
  <si>
    <t xml:space="preserve"> le taux d'amidon</t>
  </si>
  <si>
    <t>Saisissez le ici (par défaut:28%)</t>
  </si>
  <si>
    <t xml:space="preserve">      =&gt;</t>
  </si>
  <si>
    <t>% de grains</t>
  </si>
  <si>
    <t xml:space="preserve">                                     Ou  - </t>
  </si>
  <si>
    <t xml:space="preserve"> le % de grain dans la MS</t>
  </si>
  <si>
    <t>Saisissez le ici</t>
  </si>
  <si>
    <t>% amidon</t>
  </si>
  <si>
    <t>Balles rondes de 1,2 m de haut</t>
  </si>
  <si>
    <t>Paille</t>
  </si>
  <si>
    <t>Diamètre (m)</t>
  </si>
  <si>
    <t>Poids / balle (kg)</t>
  </si>
  <si>
    <t>100 - 125</t>
  </si>
  <si>
    <t>180 - 220</t>
  </si>
  <si>
    <t>250 - 300</t>
  </si>
  <si>
    <t>380-500</t>
  </si>
  <si>
    <t>Bottes moyenne densité</t>
  </si>
  <si>
    <t>Par botte (kg)</t>
  </si>
  <si>
    <t xml:space="preserve"> 10 - 15</t>
  </si>
  <si>
    <t>pour 1 m3 (kg)</t>
  </si>
  <si>
    <t>100 - 130</t>
  </si>
  <si>
    <t>Vrac</t>
  </si>
  <si>
    <t xml:space="preserve">80 - 100 </t>
  </si>
  <si>
    <t>Pour l'ensilage d'herbe utiliser de préférence le calcul avec le type de brins (longueur de coupe)</t>
  </si>
  <si>
    <t xml:space="preserve">     Ensilage brins courts</t>
  </si>
  <si>
    <t xml:space="preserve">     Ensilage brins longs</t>
  </si>
  <si>
    <t>A défaut utiliser le calcul avec le type de silo</t>
  </si>
  <si>
    <t xml:space="preserve"> * Pour les ensilages de sorgho plante entière utiliser les densités maïs majorées de 20%</t>
  </si>
  <si>
    <t>Balles enrubannage (1,2 x 1,2)</t>
  </si>
  <si>
    <t>Taux de MS(%)</t>
  </si>
  <si>
    <t>Poids MS (kg)</t>
  </si>
  <si>
    <t xml:space="preserve"> * pour des bottes de 1,5 le poids augmente de 40 %</t>
  </si>
  <si>
    <t>70 - 100</t>
  </si>
  <si>
    <t>160 - 210</t>
  </si>
  <si>
    <t>250-320</t>
  </si>
  <si>
    <t>Balles haute densité</t>
  </si>
  <si>
    <t>dimensions (m)</t>
  </si>
  <si>
    <t>2,2 x 0, 8 x 0,9</t>
  </si>
  <si>
    <t>330 - 400</t>
  </si>
  <si>
    <t>270 - 340</t>
  </si>
  <si>
    <t>Poids brut (kg)</t>
  </si>
  <si>
    <t>Poids / balle (kg brut)</t>
  </si>
  <si>
    <t>CONSOMMATIONS DE FOURRAGES 2018-2019</t>
  </si>
  <si>
    <t>Les fourrages disponibles</t>
  </si>
  <si>
    <t>FOURRAGES EN STOCK</t>
  </si>
  <si>
    <t>Total stocks
Tonnes MS</t>
  </si>
  <si>
    <t>FOINS</t>
  </si>
  <si>
    <t>diamètre (m)</t>
  </si>
  <si>
    <t>Poids d'une balle (kg bruts)</t>
  </si>
  <si>
    <t>Nombre</t>
  </si>
  <si>
    <t>Balles Cubiques</t>
  </si>
  <si>
    <t>dimensions en m (h X l X L)</t>
  </si>
  <si>
    <t>PAILLE</t>
  </si>
  <si>
    <t>ENRUBANNE</t>
  </si>
  <si>
    <t>Taux de matière sèche</t>
  </si>
  <si>
    <r>
      <t xml:space="preserve">ENSILAGE d'HERBE </t>
    </r>
    <r>
      <rPr>
        <b/>
        <vertAlign val="superscript"/>
        <sz val="9"/>
        <rFont val="Comic Sans MS"/>
        <family val="4"/>
      </rPr>
      <t>(1)</t>
    </r>
  </si>
  <si>
    <t xml:space="preserve">dimensions en m (h X l X L) </t>
  </si>
  <si>
    <r>
      <t xml:space="preserve">ENSILAGE de MAÏS </t>
    </r>
    <r>
      <rPr>
        <b/>
        <vertAlign val="superscript"/>
        <sz val="9"/>
        <rFont val="Comic Sans MS"/>
        <family val="4"/>
      </rPr>
      <t>(1)</t>
    </r>
  </si>
  <si>
    <r>
      <t xml:space="preserve">ENSILAGE de SORGHO </t>
    </r>
    <r>
      <rPr>
        <b/>
        <vertAlign val="superscript"/>
        <sz val="9"/>
        <rFont val="Comic Sans MS"/>
        <family val="4"/>
      </rPr>
      <t>(1)</t>
    </r>
  </si>
  <si>
    <t>Autre fourrage en balle</t>
  </si>
  <si>
    <t>Sorgho Fourrager</t>
  </si>
  <si>
    <r>
      <t>Poids d'un m</t>
    </r>
    <r>
      <rPr>
        <vertAlign val="superscript"/>
        <sz val="9"/>
        <rFont val="Comic Sans MS"/>
        <family val="4"/>
      </rPr>
      <t>3</t>
    </r>
    <r>
      <rPr>
        <sz val="11"/>
        <color theme="1"/>
        <rFont val="Calibri"/>
        <family val="2"/>
        <scheme val="minor"/>
      </rPr>
      <t xml:space="preserve"> en kg MS</t>
    </r>
  </si>
  <si>
    <t>Volume</t>
  </si>
  <si>
    <t>FOURRAGES A RECOLTER</t>
  </si>
  <si>
    <t>Stocks en
tonnes de MS
à venir</t>
  </si>
  <si>
    <t>FOIN</t>
  </si>
  <si>
    <t>Surface</t>
  </si>
  <si>
    <t>Rendement brut / ha</t>
  </si>
  <si>
    <t>Rendement MS / ha</t>
  </si>
  <si>
    <t>FOURRAGES ACHETES</t>
  </si>
  <si>
    <t>Poids brut</t>
  </si>
  <si>
    <t>Taux de MS</t>
  </si>
  <si>
    <t>MATIERE SECHE TOTALE</t>
  </si>
  <si>
    <t>Total (*)</t>
  </si>
  <si>
    <t>Quantités achetées (*)</t>
  </si>
  <si>
    <t>Quantités restant à récolter (*)</t>
  </si>
  <si>
    <t>Stock disponible (*)</t>
  </si>
  <si>
    <t>Cette feuille permet d'estimer la consommation de fourrages à date jusqu'à la mise à l'herbe 2020 pour les catégories pâturant et au 01/06/20 pour les autres animaux.</t>
  </si>
  <si>
    <t>Dupont</t>
  </si>
  <si>
    <t>Tulle</t>
  </si>
  <si>
    <t>Corrèze</t>
  </si>
  <si>
    <t>Balles rondes
2018</t>
  </si>
  <si>
    <t>Balles rondes
"année normale"</t>
  </si>
  <si>
    <t>Balles Cubiques "année normale"</t>
  </si>
  <si>
    <t>ENRUBANNE 2019</t>
  </si>
  <si>
    <t>ENRUBANNE "année normale"</t>
  </si>
  <si>
    <r>
      <t>ENSILAGE d'HERBE "année normale"</t>
    </r>
    <r>
      <rPr>
        <b/>
        <vertAlign val="superscript"/>
        <sz val="9"/>
        <rFont val="Comic Sans MS"/>
        <family val="4"/>
      </rPr>
      <t>(1)</t>
    </r>
  </si>
  <si>
    <r>
      <t>ENSILAGE de MAÏS "année normale"</t>
    </r>
    <r>
      <rPr>
        <b/>
        <vertAlign val="superscript"/>
        <sz val="9"/>
        <rFont val="Comic Sans MS"/>
        <family val="4"/>
      </rPr>
      <t>(1)</t>
    </r>
  </si>
  <si>
    <r>
      <t>ENSILAGE de SORGHO "année normale"</t>
    </r>
    <r>
      <rPr>
        <b/>
        <vertAlign val="superscript"/>
        <sz val="9"/>
        <rFont val="Comic Sans MS"/>
        <family val="4"/>
      </rPr>
      <t>(1)</t>
    </r>
  </si>
  <si>
    <t>Autre fourrage en balle "année normale"</t>
  </si>
  <si>
    <t>Sorgho Fourrager "année normale"</t>
  </si>
  <si>
    <t>FOIN 2019</t>
  </si>
  <si>
    <t>Balles rondes
2019</t>
  </si>
  <si>
    <t>Balles Cubiques
2019</t>
  </si>
  <si>
    <r>
      <t>ENSILAGE de MAÏS 2019</t>
    </r>
    <r>
      <rPr>
        <b/>
        <vertAlign val="superscript"/>
        <sz val="9"/>
        <rFont val="Comic Sans MS"/>
        <family val="4"/>
      </rPr>
      <t>(1)</t>
    </r>
  </si>
  <si>
    <t>FOIN "année normale"</t>
  </si>
  <si>
    <t>PAILLE 2019</t>
  </si>
  <si>
    <t>PAILLE "année normale"</t>
  </si>
  <si>
    <r>
      <t>ENSILAGE d'HERBE 2019</t>
    </r>
    <r>
      <rPr>
        <b/>
        <vertAlign val="superscript"/>
        <sz val="9"/>
        <rFont val="Comic Sans MS"/>
        <family val="4"/>
      </rPr>
      <t>(1)</t>
    </r>
  </si>
  <si>
    <r>
      <t xml:space="preserve">ENSILAGE de MAÏS "année normale" </t>
    </r>
    <r>
      <rPr>
        <b/>
        <vertAlign val="superscript"/>
        <sz val="9"/>
        <rFont val="Comic Sans MS"/>
        <family val="4"/>
      </rPr>
      <t>(1)</t>
    </r>
  </si>
  <si>
    <r>
      <t xml:space="preserve">ENSILAGE de SORGHO 2019 </t>
    </r>
    <r>
      <rPr>
        <b/>
        <vertAlign val="superscript"/>
        <sz val="9"/>
        <rFont val="Comic Sans MS"/>
        <family val="4"/>
      </rPr>
      <t>(1)</t>
    </r>
  </si>
  <si>
    <t>Bilan Fourrager</t>
  </si>
  <si>
    <t>Année "normale</t>
  </si>
  <si>
    <t xml:space="preserve">Sorgho Fourrager </t>
  </si>
  <si>
    <t xml:space="preserve">Autre fourrage en balle </t>
  </si>
  <si>
    <r>
      <t xml:space="preserve">ENSILAGE d'HERBE </t>
    </r>
    <r>
      <rPr>
        <b/>
        <vertAlign val="superscript"/>
        <sz val="9"/>
        <rFont val="Comic Sans MS"/>
        <family val="4"/>
      </rPr>
      <t xml:space="preserve">(1) </t>
    </r>
  </si>
  <si>
    <t xml:space="preserve">ENRUBANNE </t>
  </si>
  <si>
    <r>
      <t xml:space="preserve">ENSILAGE d'HERBE  </t>
    </r>
    <r>
      <rPr>
        <b/>
        <vertAlign val="superscript"/>
        <sz val="9"/>
        <rFont val="Comic Sans MS"/>
        <family val="4"/>
      </rPr>
      <t xml:space="preserve">(1) </t>
    </r>
  </si>
  <si>
    <t>Besoin des animaux</t>
  </si>
  <si>
    <t>TOTAL</t>
  </si>
  <si>
    <t>BESOIN MS (t)</t>
  </si>
  <si>
    <t>Fourrage disponible</t>
  </si>
  <si>
    <t>Commune du siège d'exploitation</t>
  </si>
  <si>
    <t>Dénomination</t>
  </si>
  <si>
    <t>Téléphone</t>
  </si>
  <si>
    <t>Altitude Exploitation</t>
  </si>
  <si>
    <t>Détails des coupes</t>
  </si>
  <si>
    <t>1ere coupe</t>
  </si>
  <si>
    <t>2ème coupe</t>
  </si>
  <si>
    <t>3ème coupe</t>
  </si>
  <si>
    <t>"normale"</t>
  </si>
  <si>
    <t>Nombre de bottes
rondes</t>
  </si>
  <si>
    <t>Nombre de bottes
cubiques</t>
  </si>
  <si>
    <t>Tonnes de MS</t>
  </si>
  <si>
    <t>Caractéristiques de l'exploitation</t>
  </si>
  <si>
    <t>SAU</t>
  </si>
  <si>
    <t>Production</t>
  </si>
  <si>
    <t>Prairies temporaires (ha)</t>
  </si>
  <si>
    <t>Prairies permanentes (ha)</t>
  </si>
  <si>
    <t>Landes et parcours (ha)</t>
  </si>
  <si>
    <t>céréales autoconsommées</t>
  </si>
  <si>
    <t>Récolte sur l'exploitation</t>
  </si>
  <si>
    <t>Année 2018</t>
  </si>
  <si>
    <t>Année "normale"</t>
  </si>
  <si>
    <t>Nombre de boule de foin 1ere coupe</t>
  </si>
  <si>
    <t>Nombre de boule de foin 2eme coupe</t>
  </si>
  <si>
    <t>Nombre de boule de foin 3eme coupe</t>
  </si>
  <si>
    <t>Poids unitaire des boules 1ere coupe</t>
  </si>
  <si>
    <t>Poids unitaire des boules 2eme coupe</t>
  </si>
  <si>
    <t>Poids unitaire des boules 3eme coupe</t>
  </si>
  <si>
    <t>Nombre de boules enrubannage</t>
  </si>
  <si>
    <t>Poids unitaire des boules enrubannage</t>
  </si>
  <si>
    <t>Volume d'ensilage d'herbe</t>
  </si>
  <si>
    <t>Densité ensilage</t>
  </si>
  <si>
    <t>Pâturage</t>
  </si>
  <si>
    <t>Date de mise à l'herbe</t>
  </si>
  <si>
    <t>Date de rentrée prévue</t>
  </si>
  <si>
    <t>Nombre de moyen d'UGB au pâturage</t>
  </si>
  <si>
    <t>Quantité affouragée sur la période de pâturage</t>
  </si>
  <si>
    <t>Période d'affouragement</t>
  </si>
  <si>
    <t>Récolte maïs fourrager sur l'exploitation</t>
  </si>
  <si>
    <t>Surface cultivée</t>
  </si>
  <si>
    <t>Volume d'ensilage de maïs</t>
  </si>
  <si>
    <t>T MS récoltée</t>
  </si>
  <si>
    <t>Autre récolte (fourrage)</t>
  </si>
  <si>
    <t>CALCUL DES PERTES DE FOURRAGE
DANS LE DEPARTEMENT DE LA CORREZE 2019</t>
  </si>
  <si>
    <t>Prairies temporaires (ha) :</t>
  </si>
  <si>
    <t>Prairies permanentes (ha) :</t>
  </si>
  <si>
    <t>Landes et parcours (ha) :</t>
  </si>
  <si>
    <t>céréales autoconsommées :</t>
  </si>
  <si>
    <t>Surface céréales immature ensilée :</t>
  </si>
  <si>
    <t>Taux de chargement :</t>
  </si>
  <si>
    <t>Problème d'abreuvement :</t>
  </si>
  <si>
    <t>Productions :</t>
  </si>
  <si>
    <t>Cheptel :</t>
  </si>
  <si>
    <t>UGB :</t>
  </si>
  <si>
    <t>Modification des pratiques culturales :</t>
  </si>
  <si>
    <t>Commentaires :</t>
  </si>
  <si>
    <t>Stock 2018 :</t>
  </si>
  <si>
    <t>Les fourrages récoltés 2019</t>
  </si>
  <si>
    <t>Canton :</t>
  </si>
  <si>
    <t>tonne de MS</t>
  </si>
  <si>
    <t>Achats extérieurs non habituels en 2019 :</t>
  </si>
  <si>
    <t>Tonne d'ensilage d'herbe</t>
  </si>
  <si>
    <t>Conduite de l'agriculteur au pâturage</t>
  </si>
  <si>
    <t>Nombre moyen d'UGB au pâturage</t>
  </si>
  <si>
    <t>Case à compléter</t>
  </si>
  <si>
    <t>normale</t>
  </si>
  <si>
    <t>Surface méteil immature ensilé</t>
  </si>
  <si>
    <t>Surface maïs ensilé</t>
  </si>
  <si>
    <t>Cheptel (espèce, race)</t>
  </si>
  <si>
    <t>Date de rentrée prévue en batiment</t>
  </si>
  <si>
    <t>Quantité affouragée sur la période estivale (t MS)</t>
  </si>
  <si>
    <t>FOURRAGES EN STOCK SORTIE HIVER</t>
  </si>
  <si>
    <t>FOURRAGES EN STOCK EN RECOLTE 2019</t>
  </si>
  <si>
    <t>FOURRAGES DÉJÀ DISTRIBUES EN 2019</t>
  </si>
  <si>
    <t>Fourrage consommé</t>
  </si>
  <si>
    <t>Paille consommé</t>
  </si>
  <si>
    <t>Commentaires abreuvement :</t>
  </si>
  <si>
    <t>somme</t>
  </si>
  <si>
    <t>moyenne pondérée</t>
  </si>
  <si>
    <t>hiver très long</t>
  </si>
  <si>
    <t>Si vous couvrez plus de 85% de vos besoins vous pouvez compléter votre ration pas de la complémentation.</t>
  </si>
  <si>
    <t>En revanche si vous couvrez moins de 85% de vos besoins il faudra acheter du fourrage grossier.</t>
  </si>
  <si>
    <t>Les fourrages consommés en 2019</t>
  </si>
  <si>
    <t>secheresse</t>
  </si>
  <si>
    <t>tonnes de MS</t>
  </si>
  <si>
    <t>en concentré.</t>
  </si>
  <si>
    <t>besoin totaux animaux</t>
  </si>
  <si>
    <t>production 2019</t>
  </si>
  <si>
    <r>
      <t xml:space="preserve">Bilan fourrager :
</t>
    </r>
    <r>
      <rPr>
        <sz val="10"/>
        <color theme="1"/>
        <rFont val="Calibri"/>
        <family val="2"/>
        <scheme val="minor"/>
      </rPr>
      <t>(stock sortie hiver + récolte 2019 + récolte à venir 2019) - besoins des animaux</t>
    </r>
  </si>
  <si>
    <t>bilan fourrager</t>
  </si>
  <si>
    <t>Animaux</t>
  </si>
  <si>
    <t>animaux*jrs</t>
  </si>
  <si>
    <t>MS/j</t>
  </si>
  <si>
    <t>téléphone</t>
  </si>
  <si>
    <t>m</t>
  </si>
  <si>
    <t xml:space="preserve">ENSILAGE d'HERBE (1) </t>
  </si>
  <si>
    <t>ENSILAGE d'HERBE "année normale"(1)</t>
  </si>
  <si>
    <t>ENSILAGE de MAÏS (1)</t>
  </si>
  <si>
    <t>ENSILAGE de MAÏS "année normale"(1)</t>
  </si>
  <si>
    <t>ENSILAGE de SORGHO (1)</t>
  </si>
  <si>
    <t>ENSILAGE de SORGHO "année normale"(1)</t>
  </si>
  <si>
    <t>Poids d'un m3 en kg MS</t>
  </si>
  <si>
    <t>Si vous couvrez plus de 85% de vos besoins vous pouvez compléter votre ration par de la complémentation</t>
  </si>
  <si>
    <t>En revanche si vous couvrez moins de 85% de vos besoins il faudra acheter du fourrage grossier avec.</t>
  </si>
  <si>
    <t>le complémentaire.</t>
  </si>
  <si>
    <t>Année 2019</t>
  </si>
  <si>
    <t>Prise en compte de la paille dans le bilan</t>
  </si>
  <si>
    <t>sans paille</t>
  </si>
  <si>
    <t>%</t>
  </si>
  <si>
    <t>Fourrages RECOLTES</t>
  </si>
  <si>
    <r>
      <t xml:space="preserve">Année normale
</t>
    </r>
    <r>
      <rPr>
        <sz val="10"/>
        <color theme="1"/>
        <rFont val="Calibri"/>
        <family val="2"/>
        <scheme val="minor"/>
      </rPr>
      <t xml:space="preserve">(format jj/mm/aaaa) </t>
    </r>
  </si>
  <si>
    <r>
      <t>Date du bilan</t>
    </r>
    <r>
      <rPr>
        <sz val="10"/>
        <color theme="1"/>
        <rFont val="Calibri"/>
        <family val="2"/>
        <scheme val="minor"/>
      </rPr>
      <t xml:space="preserve"> (format jj/mm/aaaa)</t>
    </r>
  </si>
  <si>
    <r>
      <t xml:space="preserve">Les cases à compléter sont les cases jaunes.
Onglet "Accueil"  --&gt; </t>
    </r>
    <r>
      <rPr>
        <sz val="10.5"/>
        <color theme="2" tint="-0.89999084444715716"/>
        <rFont val="Calibri"/>
        <family val="2"/>
        <scheme val="minor"/>
      </rPr>
      <t>Présentation de l'exploitation, attention à bien renseigner les dates sous la forme jj/mm/aaaa</t>
    </r>
    <r>
      <rPr>
        <b/>
        <sz val="10.5"/>
        <color theme="2" tint="-0.89999084444715716"/>
        <rFont val="Calibri"/>
        <family val="2"/>
        <scheme val="minor"/>
      </rPr>
      <t xml:space="preserve">
Onglet "Report stocks 2018" --&gt; </t>
    </r>
    <r>
      <rPr>
        <sz val="10.5"/>
        <color theme="2" tint="-0.89999084444715716"/>
        <rFont val="Calibri"/>
        <family val="2"/>
        <scheme val="minor"/>
      </rPr>
      <t>Fourrages à la sortie de l'hiver 2018-2019</t>
    </r>
    <r>
      <rPr>
        <b/>
        <sz val="10.5"/>
        <color theme="2" tint="-0.89999084444715716"/>
        <rFont val="Calibri"/>
        <family val="2"/>
        <scheme val="minor"/>
      </rPr>
      <t xml:space="preserve">
Fourrages 2019 --&gt; </t>
    </r>
    <r>
      <rPr>
        <sz val="10.5"/>
        <color theme="2" tint="-0.89999084444715716"/>
        <rFont val="Calibri"/>
        <family val="2"/>
        <scheme val="minor"/>
      </rPr>
      <t xml:space="preserve">Récolte 2019; à ce qui reste à récolter; et ce qui a été acheté pour l'année 2019 </t>
    </r>
    <r>
      <rPr>
        <b/>
        <sz val="10.5"/>
        <color theme="2" tint="-0.89999084444715716"/>
        <rFont val="Calibri"/>
        <family val="2"/>
        <scheme val="minor"/>
      </rPr>
      <t xml:space="preserve">
Consommation 2019 --&gt; </t>
    </r>
    <r>
      <rPr>
        <sz val="10.5"/>
        <color theme="2" tint="-0.89999084444715716"/>
        <rFont val="Calibri"/>
        <family val="2"/>
        <scheme val="minor"/>
      </rPr>
      <t>Ce qui a déjà été consommé en 2019</t>
    </r>
    <r>
      <rPr>
        <b/>
        <sz val="10.5"/>
        <color theme="2" tint="-0.89999084444715716"/>
        <rFont val="Calibri"/>
        <family val="2"/>
        <scheme val="minor"/>
      </rPr>
      <t xml:space="preserve">
Besoins des animaux --&gt; </t>
    </r>
    <r>
      <rPr>
        <sz val="10.5"/>
        <color theme="2" tint="-0.89999084444715716"/>
        <rFont val="Calibri"/>
        <family val="2"/>
        <scheme val="minor"/>
      </rPr>
      <t>Nombre de jours et d'UGB d'affouragement estimés, vous pouvez définir en haut de la page les besoins kg MS/J/UGB</t>
    </r>
    <r>
      <rPr>
        <b/>
        <sz val="10.5"/>
        <color theme="2" tint="-0.89999084444715716"/>
        <rFont val="Calibri"/>
        <family val="2"/>
        <scheme val="minor"/>
      </rPr>
      <t xml:space="preserve">
Bilan --&gt;</t>
    </r>
    <r>
      <rPr>
        <sz val="10.5"/>
        <color theme="2" tint="-0.89999084444715716"/>
        <rFont val="Calibri"/>
        <family val="2"/>
        <scheme val="minor"/>
      </rPr>
      <t xml:space="preserve"> Fait le calcul des besoins et de la production de fourrages (vous pouvez prendre en compte ou non la paille)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</si>
</sst>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[$€-1]_-;\-* #,##0.00\ [$€-1]_-;_-* \-??\ [$€-1]_-"/>
    <numFmt numFmtId="166" formatCode="0#&quot; &quot;##&quot; &quot;##&quot; &quot;##&quot; &quot;##"/>
  </numFmts>
  <fonts count="5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Arial"/>
      <family val="2"/>
    </font>
    <font>
      <b/>
      <u val="double"/>
      <sz val="14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indexed="51"/>
      <name val="Arial"/>
      <family val="2"/>
    </font>
    <font>
      <sz val="11"/>
      <color rgb="FFFF0000"/>
      <name val="Calibri"/>
      <family val="2"/>
      <scheme val="minor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omic Sans MS"/>
      <family val="4"/>
    </font>
    <font>
      <b/>
      <i/>
      <sz val="16"/>
      <name val="Arial"/>
      <family val="2"/>
    </font>
    <font>
      <b/>
      <i/>
      <sz val="12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b/>
      <sz val="11"/>
      <name val="Comic Sans MS"/>
      <family val="4"/>
    </font>
    <font>
      <b/>
      <vertAlign val="superscript"/>
      <sz val="9"/>
      <name val="Comic Sans MS"/>
      <family val="4"/>
    </font>
    <font>
      <vertAlign val="superscript"/>
      <sz val="9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i/>
      <sz val="14"/>
      <color rgb="FFE23C2A"/>
      <name val="Comic Sans MS"/>
      <family val="4"/>
    </font>
    <font>
      <b/>
      <sz val="12"/>
      <name val="Comic Sans MS"/>
      <family val="4"/>
    </font>
    <font>
      <b/>
      <sz val="12"/>
      <color theme="1" tint="0.249977111117893"/>
      <name val="Comic Sans MS"/>
      <family val="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/>
      <name val="Comic Sans MS"/>
      <family val="4"/>
    </font>
    <font>
      <sz val="12"/>
      <color theme="1"/>
      <name val="Calibri"/>
      <family val="2"/>
      <scheme val="minor"/>
    </font>
    <font>
      <b/>
      <sz val="9"/>
      <color theme="0"/>
      <name val="Comic Sans MS"/>
      <family val="4"/>
    </font>
    <font>
      <sz val="9"/>
      <color theme="1" tint="0.34998626667073579"/>
      <name val="Comic Sans MS"/>
      <family val="4"/>
    </font>
    <font>
      <sz val="11.5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theme="2" tint="-0.89999084444715716"/>
      <name val="Calibri"/>
      <family val="2"/>
      <scheme val="minor"/>
    </font>
    <font>
      <sz val="10.5"/>
      <color theme="2" tint="-0.89999084444715716"/>
      <name val="Calibri"/>
      <family val="2"/>
      <scheme val="minor"/>
    </font>
    <font>
      <sz val="14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7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9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E6A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A1C6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Dashed">
        <color theme="4" tint="0.39997558519241921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Dashed">
        <color theme="4" tint="0.39997558519241921"/>
      </bottom>
      <diagonal/>
    </border>
    <border>
      <left style="thin">
        <color indexed="64"/>
      </left>
      <right/>
      <top/>
      <bottom style="mediumDashed">
        <color theme="4" tint="-0.249977111117893"/>
      </bottom>
      <diagonal/>
    </border>
    <border>
      <left style="thin">
        <color indexed="64"/>
      </left>
      <right style="hair">
        <color indexed="64"/>
      </right>
      <top/>
      <bottom style="mediumDashed">
        <color theme="4" tint="-0.249977111117893"/>
      </bottom>
      <diagonal/>
    </border>
    <border>
      <left style="hair">
        <color indexed="64"/>
      </left>
      <right style="hair">
        <color indexed="64"/>
      </right>
      <top/>
      <bottom style="mediumDashed">
        <color theme="4" tint="-0.249977111117893"/>
      </bottom>
      <diagonal/>
    </border>
    <border>
      <left style="hair">
        <color indexed="64"/>
      </left>
      <right/>
      <top/>
      <bottom style="mediumDashed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mediumDashed">
        <color theme="4" tint="-0.249977111117893"/>
      </bottom>
      <diagonal/>
    </border>
    <border>
      <left/>
      <right style="thin">
        <color indexed="64"/>
      </right>
      <top/>
      <bottom style="mediumDashed">
        <color theme="4" tint="-0.24997711111789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theme="4" tint="-0.249977111117893"/>
      </bottom>
      <diagonal/>
    </border>
    <border>
      <left/>
      <right/>
      <top/>
      <bottom style="mediumDashed">
        <color theme="4" tint="-0.249977111117893"/>
      </bottom>
      <diagonal/>
    </border>
    <border>
      <left/>
      <right style="thin">
        <color indexed="64"/>
      </right>
      <top style="mediumDashed">
        <color theme="4" tint="-0.249977111117893"/>
      </top>
      <bottom/>
      <diagonal/>
    </border>
    <border>
      <left/>
      <right/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5" tint="-0.249977111117893"/>
      </bottom>
      <diagonal/>
    </border>
    <border>
      <left style="thin">
        <color indexed="64"/>
      </left>
      <right/>
      <top/>
      <bottom style="medium">
        <color theme="5" tint="-0.249977111117893"/>
      </bottom>
      <diagonal/>
    </border>
    <border>
      <left/>
      <right style="thin">
        <color indexed="64"/>
      </right>
      <top/>
      <bottom style="medium">
        <color theme="5" tint="-0.249977111117893"/>
      </bottom>
      <diagonal/>
    </border>
    <border>
      <left style="thin">
        <color indexed="64"/>
      </left>
      <right style="hair">
        <color indexed="64"/>
      </right>
      <top/>
      <bottom style="medium">
        <color theme="5" tint="-0.249977111117893"/>
      </bottom>
      <diagonal/>
    </border>
    <border>
      <left style="hair">
        <color indexed="64"/>
      </left>
      <right style="hair">
        <color indexed="64"/>
      </right>
      <top/>
      <bottom style="medium">
        <color theme="5" tint="-0.249977111117893"/>
      </bottom>
      <diagonal/>
    </border>
    <border>
      <left style="hair">
        <color indexed="64"/>
      </left>
      <right/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 style="thin">
        <color indexed="64"/>
      </right>
      <top style="medium">
        <color theme="5" tint="-0.249977111117893"/>
      </top>
      <bottom/>
      <diagonal/>
    </border>
    <border>
      <left style="thin">
        <color indexed="64"/>
      </left>
      <right/>
      <top style="medium">
        <color theme="5" tint="-0.249977111117893"/>
      </top>
      <bottom style="hair">
        <color indexed="64"/>
      </bottom>
      <diagonal/>
    </border>
    <border>
      <left/>
      <right/>
      <top style="medium">
        <color theme="5" tint="-0.249977111117893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hair">
        <color indexed="64"/>
      </bottom>
      <diagonal/>
    </border>
    <border>
      <left style="thin">
        <color indexed="64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 style="thin">
        <color indexed="64"/>
      </left>
      <right style="medium">
        <color theme="5" tint="-0.249977111117893"/>
      </right>
      <top/>
      <bottom style="mediumDashed">
        <color theme="4" tint="-0.249977111117893"/>
      </bottom>
      <diagonal/>
    </border>
    <border>
      <left style="thin">
        <color indexed="64"/>
      </left>
      <right style="medium">
        <color theme="5" tint="-0.249977111117893"/>
      </right>
      <top/>
      <bottom/>
      <diagonal/>
    </border>
    <border>
      <left style="thin">
        <color indexed="64"/>
      </left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theme="4" tint="-0.249977111117893"/>
      </bottom>
      <diagonal/>
    </border>
    <border>
      <left/>
      <right style="thin">
        <color indexed="64"/>
      </right>
      <top style="hair">
        <color indexed="64"/>
      </top>
      <bottom style="mediumDashed">
        <color theme="4" tint="-0.249977111117893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mediumDashed">
        <color theme="4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Dashed">
        <color theme="4" tint="-0.249977111117893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mediumDashed">
        <color theme="4" tint="-0.249977111117893"/>
      </bottom>
      <diagonal/>
    </border>
    <border>
      <left/>
      <right/>
      <top/>
      <bottom style="medium">
        <color rgb="FFE23C2A"/>
      </bottom>
      <diagonal/>
    </border>
    <border>
      <left style="thin">
        <color indexed="64"/>
      </left>
      <right style="thin">
        <color indexed="64"/>
      </right>
      <top/>
      <bottom style="medium">
        <color rgb="FFE23C2A"/>
      </bottom>
      <diagonal/>
    </border>
    <border>
      <left style="thin">
        <color indexed="64"/>
      </left>
      <right/>
      <top style="hair">
        <color indexed="64"/>
      </top>
      <bottom style="medium">
        <color rgb="FFE23C2A"/>
      </bottom>
      <diagonal/>
    </border>
    <border>
      <left/>
      <right/>
      <top style="hair">
        <color indexed="64"/>
      </top>
      <bottom style="medium">
        <color rgb="FFE23C2A"/>
      </bottom>
      <diagonal/>
    </border>
    <border>
      <left/>
      <right style="thin">
        <color indexed="64"/>
      </right>
      <top style="hair">
        <color indexed="64"/>
      </top>
      <bottom style="medium">
        <color rgb="FFE23C2A"/>
      </bottom>
      <diagonal/>
    </border>
    <border>
      <left/>
      <right style="thin">
        <color indexed="64"/>
      </right>
      <top/>
      <bottom style="medium">
        <color rgb="FFE23C2A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medium">
        <color rgb="FFE23C2A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rgb="FFE23C2A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medium">
        <color rgb="FFE23C2A"/>
      </bottom>
      <diagonal/>
    </border>
    <border>
      <left style="thin">
        <color indexed="64"/>
      </left>
      <right/>
      <top/>
      <bottom style="medium">
        <color rgb="FFE23C2A"/>
      </bottom>
      <diagonal/>
    </border>
    <border>
      <left style="medium">
        <color rgb="FFE23C2A"/>
      </left>
      <right/>
      <top style="medium">
        <color rgb="FFE23C2A"/>
      </top>
      <bottom/>
      <diagonal/>
    </border>
    <border>
      <left/>
      <right style="thin">
        <color indexed="64"/>
      </right>
      <top style="medium">
        <color rgb="FFE23C2A"/>
      </top>
      <bottom/>
      <diagonal/>
    </border>
    <border>
      <left style="thin">
        <color indexed="64"/>
      </left>
      <right/>
      <top style="medium">
        <color rgb="FFE23C2A"/>
      </top>
      <bottom style="hair">
        <color indexed="64"/>
      </bottom>
      <diagonal/>
    </border>
    <border>
      <left/>
      <right/>
      <top style="medium">
        <color rgb="FFE23C2A"/>
      </top>
      <bottom style="hair">
        <color indexed="64"/>
      </bottom>
      <diagonal/>
    </border>
    <border>
      <left/>
      <right style="thin">
        <color indexed="64"/>
      </right>
      <top style="medium">
        <color rgb="FFE23C2A"/>
      </top>
      <bottom style="hair">
        <color indexed="64"/>
      </bottom>
      <diagonal/>
    </border>
    <border>
      <left style="thin">
        <color indexed="64"/>
      </left>
      <right style="medium">
        <color rgb="FFE23C2A"/>
      </right>
      <top style="medium">
        <color rgb="FFE23C2A"/>
      </top>
      <bottom/>
      <diagonal/>
    </border>
    <border>
      <left style="medium">
        <color rgb="FFE23C2A"/>
      </left>
      <right/>
      <top/>
      <bottom style="mediumDashed">
        <color theme="4" tint="-0.249977111117893"/>
      </bottom>
      <diagonal/>
    </border>
    <border>
      <left style="thin">
        <color indexed="64"/>
      </left>
      <right style="medium">
        <color rgb="FFE23C2A"/>
      </right>
      <top/>
      <bottom style="mediumDashed">
        <color theme="4" tint="-0.249977111117893"/>
      </bottom>
      <diagonal/>
    </border>
    <border>
      <left style="medium">
        <color rgb="FFE23C2A"/>
      </left>
      <right/>
      <top/>
      <bottom/>
      <diagonal/>
    </border>
    <border>
      <left style="thin">
        <color indexed="64"/>
      </left>
      <right style="medium">
        <color rgb="FFE23C2A"/>
      </right>
      <top/>
      <bottom/>
      <diagonal/>
    </border>
    <border>
      <left style="medium">
        <color rgb="FFE23C2A"/>
      </left>
      <right/>
      <top/>
      <bottom style="medium">
        <color rgb="FFE23C2A"/>
      </bottom>
      <diagonal/>
    </border>
    <border>
      <left style="thin">
        <color indexed="64"/>
      </left>
      <right style="medium">
        <color rgb="FFE23C2A"/>
      </right>
      <top/>
      <bottom style="medium">
        <color rgb="FFE23C2A"/>
      </bottom>
      <diagonal/>
    </border>
    <border>
      <left style="thin">
        <color indexed="64"/>
      </left>
      <right/>
      <top style="hair">
        <color indexed="64"/>
      </top>
      <bottom style="mediumDashed">
        <color theme="4" tint="0.39997558519241921"/>
      </bottom>
      <diagonal/>
    </border>
    <border>
      <left/>
      <right/>
      <top style="hair">
        <color indexed="64"/>
      </top>
      <bottom style="mediumDashed">
        <color theme="4" tint="0.39997558519241921"/>
      </bottom>
      <diagonal/>
    </border>
    <border>
      <left/>
      <right style="thin">
        <color indexed="64"/>
      </right>
      <top style="hair">
        <color indexed="64"/>
      </top>
      <bottom style="mediumDashed">
        <color theme="4" tint="0.39997558519241921"/>
      </bottom>
      <diagonal/>
    </border>
    <border>
      <left/>
      <right style="thin">
        <color indexed="64"/>
      </right>
      <top style="mediumDashed">
        <color theme="4" tint="0.39997558519241921"/>
      </top>
      <bottom/>
      <diagonal/>
    </border>
    <border>
      <left style="thin">
        <color indexed="64"/>
      </left>
      <right/>
      <top style="mediumDashed">
        <color theme="4" tint="0.39997558519241921"/>
      </top>
      <bottom style="hair">
        <color indexed="64"/>
      </bottom>
      <diagonal/>
    </border>
    <border>
      <left/>
      <right/>
      <top style="mediumDashed">
        <color theme="4" tint="0.39997558519241921"/>
      </top>
      <bottom style="hair">
        <color indexed="64"/>
      </bottom>
      <diagonal/>
    </border>
    <border>
      <left/>
      <right style="thin">
        <color indexed="64"/>
      </right>
      <top style="mediumDashed">
        <color theme="4" tint="0.39997558519241921"/>
      </top>
      <bottom style="hair">
        <color indexed="64"/>
      </bottom>
      <diagonal/>
    </border>
    <border>
      <left style="medium">
        <color rgb="FFE23C2A"/>
      </left>
      <right/>
      <top/>
      <bottom style="mediumDashed">
        <color theme="4" tint="0.39997558519241921"/>
      </bottom>
      <diagonal/>
    </border>
    <border>
      <left style="thin">
        <color indexed="64"/>
      </left>
      <right style="medium">
        <color rgb="FFE23C2A"/>
      </right>
      <top/>
      <bottom style="mediumDashed">
        <color theme="4" tint="0.39997558519241921"/>
      </bottom>
      <diagonal/>
    </border>
    <border>
      <left style="medium">
        <color rgb="FFE23C2A"/>
      </left>
      <right/>
      <top style="mediumDashed">
        <color theme="4" tint="0.39997558519241921"/>
      </top>
      <bottom/>
      <diagonal/>
    </border>
    <border>
      <left style="thin">
        <color indexed="64"/>
      </left>
      <right style="medium">
        <color rgb="FFE23C2A"/>
      </right>
      <top style="mediumDashed">
        <color theme="4" tint="0.39997558519241921"/>
      </top>
      <bottom/>
      <diagonal/>
    </border>
    <border>
      <left/>
      <right/>
      <top style="medium">
        <color rgb="FFE23C2A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medium">
        <color rgb="FFE23C2A"/>
      </top>
      <bottom style="hair">
        <color indexed="8"/>
      </bottom>
      <diagonal/>
    </border>
    <border>
      <left/>
      <right/>
      <top style="medium">
        <color rgb="FFE23C2A"/>
      </top>
      <bottom style="hair">
        <color indexed="8"/>
      </bottom>
      <diagonal/>
    </border>
    <border>
      <left/>
      <right style="thin">
        <color indexed="64"/>
      </right>
      <top style="medium">
        <color rgb="FFE23C2A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medium">
        <color rgb="FFE23C2A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rgb="FFE23C2A"/>
      </top>
      <bottom style="hair">
        <color indexed="8"/>
      </bottom>
      <diagonal/>
    </border>
    <border>
      <left style="hair">
        <color indexed="64"/>
      </left>
      <right/>
      <top style="medium">
        <color rgb="FFE23C2A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medium">
        <color rgb="FFE23C2A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medium">
        <color rgb="FFE23C2A"/>
      </bottom>
      <diagonal/>
    </border>
    <border>
      <left style="hair">
        <color indexed="64"/>
      </left>
      <right style="hair">
        <color indexed="64"/>
      </right>
      <top/>
      <bottom style="medium">
        <color rgb="FFE23C2A"/>
      </bottom>
      <diagonal/>
    </border>
    <border>
      <left style="hair">
        <color indexed="64"/>
      </left>
      <right/>
      <top/>
      <bottom style="medium">
        <color rgb="FFE23C2A"/>
      </bottom>
      <diagonal/>
    </border>
    <border>
      <left/>
      <right/>
      <top style="hair">
        <color indexed="64"/>
      </top>
      <bottom style="mediumDashed">
        <color theme="4" tint="-0.249977111117893"/>
      </bottom>
      <diagonal/>
    </border>
  </borders>
  <cellStyleXfs count="4">
    <xf numFmtId="0" fontId="0" fillId="0" borderId="0"/>
    <xf numFmtId="0" fontId="16" fillId="0" borderId="0"/>
    <xf numFmtId="0" fontId="25" fillId="0" borderId="0"/>
    <xf numFmtId="165" fontId="25" fillId="0" borderId="0" applyFill="0" applyBorder="0" applyAlignment="0" applyProtection="0"/>
  </cellStyleXfs>
  <cellXfs count="653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0" fillId="3" borderId="3" xfId="0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4" fontId="0" fillId="2" borderId="3" xfId="0" applyNumberForma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15" fillId="2" borderId="0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64" fontId="0" fillId="5" borderId="3" xfId="0" applyNumberFormat="1" applyFill="1" applyBorder="1" applyAlignment="1" applyProtection="1">
      <alignment horizontal="center"/>
      <protection hidden="1"/>
    </xf>
    <xf numFmtId="0" fontId="17" fillId="2" borderId="0" xfId="0" applyFont="1" applyFill="1" applyProtection="1"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0" xfId="0" applyFill="1" applyBorder="1" applyProtection="1"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164" fontId="0" fillId="2" borderId="3" xfId="0" applyNumberForma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0" fillId="4" borderId="0" xfId="0" applyFill="1"/>
    <xf numFmtId="0" fontId="0" fillId="4" borderId="0" xfId="0" applyFill="1" applyProtection="1">
      <protection hidden="1"/>
    </xf>
    <xf numFmtId="0" fontId="0" fillId="4" borderId="0" xfId="0" applyFill="1" applyAlignment="1">
      <alignment horizontal="center"/>
    </xf>
    <xf numFmtId="0" fontId="0" fillId="12" borderId="0" xfId="0" applyFont="1" applyFill="1" applyProtection="1">
      <protection hidden="1"/>
    </xf>
    <xf numFmtId="0" fontId="1" fillId="12" borderId="0" xfId="0" applyFont="1" applyFill="1" applyAlignment="1" applyProtection="1">
      <alignment horizontal="center"/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2" fillId="2" borderId="0" xfId="0" applyFont="1" applyFill="1" applyProtection="1">
      <protection hidden="1"/>
    </xf>
    <xf numFmtId="1" fontId="2" fillId="2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3" fillId="2" borderId="0" xfId="0" applyFont="1" applyFill="1" applyProtection="1">
      <protection hidden="1"/>
    </xf>
    <xf numFmtId="0" fontId="0" fillId="11" borderId="10" xfId="0" applyFill="1" applyBorder="1" applyProtection="1">
      <protection locked="0"/>
    </xf>
    <xf numFmtId="0" fontId="19" fillId="2" borderId="0" xfId="0" applyFont="1" applyFill="1" applyProtection="1">
      <protection hidden="1"/>
    </xf>
    <xf numFmtId="0" fontId="13" fillId="2" borderId="11" xfId="0" applyFont="1" applyFill="1" applyBorder="1" applyProtection="1">
      <protection hidden="1"/>
    </xf>
    <xf numFmtId="0" fontId="13" fillId="2" borderId="12" xfId="0" applyFont="1" applyFill="1" applyBorder="1" applyAlignment="1" applyProtection="1">
      <alignment horizontal="center"/>
      <protection hidden="1"/>
    </xf>
    <xf numFmtId="0" fontId="13" fillId="2" borderId="13" xfId="0" applyFont="1" applyFill="1" applyBorder="1" applyAlignment="1" applyProtection="1">
      <alignment horizontal="center"/>
      <protection hidden="1"/>
    </xf>
    <xf numFmtId="0" fontId="13" fillId="2" borderId="14" xfId="0" applyFont="1" applyFill="1" applyBorder="1" applyAlignment="1" applyProtection="1">
      <alignment horizontal="center"/>
      <protection hidden="1"/>
    </xf>
    <xf numFmtId="0" fontId="13" fillId="2" borderId="15" xfId="0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center"/>
      <protection hidden="1"/>
    </xf>
    <xf numFmtId="0" fontId="13" fillId="2" borderId="17" xfId="0" applyFont="1" applyFill="1" applyBorder="1" applyAlignment="1" applyProtection="1">
      <alignment horizontal="center"/>
      <protection hidden="1"/>
    </xf>
    <xf numFmtId="0" fontId="13" fillId="2" borderId="18" xfId="0" applyFont="1" applyFill="1" applyBorder="1" applyAlignment="1" applyProtection="1">
      <alignment horizontal="center"/>
      <protection hidden="1"/>
    </xf>
    <xf numFmtId="0" fontId="20" fillId="2" borderId="0" xfId="0" applyFont="1" applyFill="1" applyProtection="1"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26" fillId="14" borderId="0" xfId="2" applyFont="1" applyFill="1"/>
    <xf numFmtId="0" fontId="25" fillId="15" borderId="0" xfId="2" applyFill="1"/>
    <xf numFmtId="0" fontId="25" fillId="0" borderId="0" xfId="2"/>
    <xf numFmtId="0" fontId="26" fillId="0" borderId="0" xfId="2" applyFont="1" applyFill="1"/>
    <xf numFmtId="0" fontId="27" fillId="0" borderId="0" xfId="2" applyFont="1" applyAlignment="1">
      <alignment horizontal="left" vertical="top"/>
    </xf>
    <xf numFmtId="0" fontId="25" fillId="0" borderId="0" xfId="2" applyAlignment="1">
      <alignment horizontal="center" vertical="center"/>
    </xf>
    <xf numFmtId="0" fontId="28" fillId="0" borderId="3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0" fontId="25" fillId="0" borderId="23" xfId="2" applyBorder="1" applyAlignment="1">
      <alignment horizontal="center" vertical="center"/>
    </xf>
    <xf numFmtId="1" fontId="25" fillId="16" borderId="25" xfId="2" applyNumberFormat="1" applyFont="1" applyFill="1" applyBorder="1" applyAlignment="1">
      <alignment horizontal="center" vertical="center"/>
    </xf>
    <xf numFmtId="0" fontId="25" fillId="17" borderId="25" xfId="2" applyFill="1" applyBorder="1" applyAlignment="1" applyProtection="1">
      <alignment horizontal="center" vertical="center"/>
      <protection locked="0"/>
    </xf>
    <xf numFmtId="0" fontId="25" fillId="0" borderId="30" xfId="2" applyBorder="1" applyAlignment="1">
      <alignment horizontal="center" vertical="center"/>
    </xf>
    <xf numFmtId="0" fontId="25" fillId="17" borderId="32" xfId="2" applyFill="1" applyBorder="1" applyAlignment="1" applyProtection="1">
      <alignment horizontal="center" vertical="center"/>
      <protection locked="0"/>
    </xf>
    <xf numFmtId="0" fontId="25" fillId="17" borderId="33" xfId="2" applyFill="1" applyBorder="1" applyAlignment="1" applyProtection="1">
      <alignment horizontal="center" vertical="center"/>
      <protection locked="0"/>
    </xf>
    <xf numFmtId="0" fontId="25" fillId="17" borderId="34" xfId="2" applyFill="1" applyBorder="1" applyAlignment="1" applyProtection="1">
      <alignment horizontal="center" vertical="center"/>
      <protection locked="0"/>
    </xf>
    <xf numFmtId="1" fontId="25" fillId="16" borderId="35" xfId="2" applyNumberFormat="1" applyFill="1" applyBorder="1" applyAlignment="1">
      <alignment horizontal="center" vertical="center"/>
    </xf>
    <xf numFmtId="0" fontId="25" fillId="17" borderId="36" xfId="2" applyFill="1" applyBorder="1" applyAlignment="1" applyProtection="1">
      <alignment horizontal="center" vertical="center"/>
      <protection locked="0"/>
    </xf>
    <xf numFmtId="0" fontId="25" fillId="17" borderId="42" xfId="2" applyFont="1" applyFill="1" applyBorder="1" applyAlignment="1" applyProtection="1">
      <alignment horizontal="center" vertical="center"/>
      <protection locked="0"/>
    </xf>
    <xf numFmtId="0" fontId="25" fillId="17" borderId="43" xfId="2" applyFill="1" applyBorder="1" applyAlignment="1" applyProtection="1">
      <alignment horizontal="center" vertical="center"/>
      <protection locked="0"/>
    </xf>
    <xf numFmtId="0" fontId="25" fillId="17" borderId="46" xfId="2" applyFill="1" applyBorder="1" applyAlignment="1" applyProtection="1">
      <alignment horizontal="center" vertical="center"/>
      <protection locked="0"/>
    </xf>
    <xf numFmtId="0" fontId="25" fillId="17" borderId="47" xfId="2" applyFill="1" applyBorder="1" applyAlignment="1" applyProtection="1">
      <alignment horizontal="center" vertical="center"/>
      <protection locked="0"/>
    </xf>
    <xf numFmtId="0" fontId="25" fillId="17" borderId="48" xfId="2" applyFill="1" applyBorder="1" applyAlignment="1" applyProtection="1">
      <alignment horizontal="center" vertical="center"/>
      <protection locked="0"/>
    </xf>
    <xf numFmtId="0" fontId="25" fillId="17" borderId="35" xfId="2" applyFill="1" applyBorder="1" applyAlignment="1" applyProtection="1">
      <alignment vertical="center"/>
      <protection locked="0"/>
    </xf>
    <xf numFmtId="0" fontId="25" fillId="17" borderId="36" xfId="2" applyFill="1" applyBorder="1" applyAlignment="1" applyProtection="1">
      <alignment vertical="center"/>
      <protection locked="0"/>
    </xf>
    <xf numFmtId="0" fontId="25" fillId="0" borderId="0" xfId="2" applyFill="1" applyBorder="1" applyAlignment="1">
      <alignment horizontal="center" vertical="center"/>
    </xf>
    <xf numFmtId="0" fontId="28" fillId="0" borderId="0" xfId="2" applyFont="1" applyFill="1" applyBorder="1" applyAlignment="1">
      <alignment horizontal="right"/>
    </xf>
    <xf numFmtId="0" fontId="33" fillId="0" borderId="0" xfId="2" applyFont="1" applyFill="1" applyBorder="1" applyAlignment="1">
      <alignment horizontal="left" vertical="center"/>
    </xf>
    <xf numFmtId="0" fontId="25" fillId="0" borderId="0" xfId="2" applyBorder="1"/>
    <xf numFmtId="0" fontId="28" fillId="0" borderId="3" xfId="2" applyFont="1" applyBorder="1" applyAlignment="1">
      <alignment horizontal="center" wrapText="1"/>
    </xf>
    <xf numFmtId="0" fontId="25" fillId="0" borderId="0" xfId="2" applyFill="1" applyBorder="1"/>
    <xf numFmtId="0" fontId="25" fillId="0" borderId="0" xfId="2" applyFill="1" applyBorder="1" applyAlignment="1">
      <alignment horizontal="left" vertical="center"/>
    </xf>
    <xf numFmtId="0" fontId="25" fillId="0" borderId="5" xfId="2" applyBorder="1"/>
    <xf numFmtId="0" fontId="2" fillId="2" borderId="0" xfId="0" applyFont="1" applyFill="1" applyAlignment="1" applyProtection="1">
      <alignment horizontal="left"/>
      <protection hidden="1"/>
    </xf>
    <xf numFmtId="0" fontId="25" fillId="21" borderId="64" xfId="2" applyFill="1" applyBorder="1" applyAlignment="1" applyProtection="1">
      <alignment horizontal="center" vertical="center"/>
      <protection locked="0"/>
    </xf>
    <xf numFmtId="0" fontId="25" fillId="21" borderId="65" xfId="2" applyFill="1" applyBorder="1" applyAlignment="1" applyProtection="1">
      <alignment horizontal="center" vertical="center"/>
      <protection locked="0"/>
    </xf>
    <xf numFmtId="0" fontId="25" fillId="21" borderId="66" xfId="2" applyFill="1" applyBorder="1" applyAlignment="1" applyProtection="1">
      <alignment horizontal="center" vertical="center"/>
      <protection locked="0"/>
    </xf>
    <xf numFmtId="1" fontId="25" fillId="19" borderId="67" xfId="2" applyNumberFormat="1" applyFill="1" applyBorder="1" applyAlignment="1">
      <alignment horizontal="center" vertical="center"/>
    </xf>
    <xf numFmtId="0" fontId="25" fillId="21" borderId="68" xfId="2" applyFill="1" applyBorder="1" applyAlignment="1" applyProtection="1">
      <alignment horizontal="center" vertical="center"/>
      <protection locked="0"/>
    </xf>
    <xf numFmtId="0" fontId="25" fillId="21" borderId="69" xfId="2" applyFill="1" applyBorder="1" applyAlignment="1" applyProtection="1">
      <alignment horizontal="center" vertical="center"/>
      <protection locked="0"/>
    </xf>
    <xf numFmtId="0" fontId="29" fillId="19" borderId="55" xfId="2" applyFont="1" applyFill="1" applyBorder="1" applyAlignment="1">
      <alignment horizontal="center" vertical="center" wrapText="1"/>
    </xf>
    <xf numFmtId="0" fontId="25" fillId="19" borderId="55" xfId="2" applyFill="1" applyBorder="1" applyAlignment="1">
      <alignment horizontal="center" vertical="center"/>
    </xf>
    <xf numFmtId="0" fontId="25" fillId="21" borderId="73" xfId="2" applyFill="1" applyBorder="1" applyAlignment="1" applyProtection="1">
      <alignment horizontal="center" vertical="center"/>
      <protection locked="0"/>
    </xf>
    <xf numFmtId="0" fontId="25" fillId="21" borderId="76" xfId="2" applyFill="1" applyBorder="1" applyAlignment="1" applyProtection="1">
      <alignment horizontal="center" vertical="center"/>
      <protection locked="0"/>
    </xf>
    <xf numFmtId="0" fontId="25" fillId="21" borderId="77" xfId="2" applyFill="1" applyBorder="1" applyAlignment="1" applyProtection="1">
      <alignment horizontal="center" vertical="center"/>
      <protection locked="0"/>
    </xf>
    <xf numFmtId="0" fontId="25" fillId="21" borderId="78" xfId="2" applyFill="1" applyBorder="1" applyAlignment="1" applyProtection="1">
      <alignment horizontal="center" vertical="center"/>
      <protection locked="0"/>
    </xf>
    <xf numFmtId="0" fontId="25" fillId="21" borderId="75" xfId="2" applyFill="1" applyBorder="1" applyAlignment="1" applyProtection="1">
      <alignment horizontal="center" vertical="center"/>
      <protection locked="0"/>
    </xf>
    <xf numFmtId="0" fontId="29" fillId="19" borderId="84" xfId="2" applyFont="1" applyFill="1" applyBorder="1" applyAlignment="1">
      <alignment horizontal="center" vertical="center" wrapText="1"/>
    </xf>
    <xf numFmtId="0" fontId="25" fillId="19" borderId="84" xfId="2" applyFill="1" applyBorder="1" applyAlignment="1">
      <alignment horizontal="center" vertical="center"/>
    </xf>
    <xf numFmtId="0" fontId="25" fillId="21" borderId="68" xfId="2" applyFill="1" applyBorder="1" applyAlignment="1" applyProtection="1">
      <alignment horizontal="center" vertical="center"/>
      <protection locked="0"/>
    </xf>
    <xf numFmtId="0" fontId="25" fillId="21" borderId="102" xfId="2" applyFill="1" applyBorder="1" applyAlignment="1" applyProtection="1">
      <alignment horizontal="center" vertical="center"/>
      <protection locked="0"/>
    </xf>
    <xf numFmtId="0" fontId="25" fillId="21" borderId="103" xfId="2" applyFill="1" applyBorder="1" applyAlignment="1" applyProtection="1">
      <alignment horizontal="center" vertical="center"/>
      <protection locked="0"/>
    </xf>
    <xf numFmtId="0" fontId="25" fillId="21" borderId="104" xfId="2" applyFill="1" applyBorder="1" applyAlignment="1" applyProtection="1">
      <alignment horizontal="center" vertical="center"/>
      <protection locked="0"/>
    </xf>
    <xf numFmtId="0" fontId="25" fillId="21" borderId="67" xfId="2" applyFill="1" applyBorder="1" applyAlignment="1" applyProtection="1">
      <alignment vertical="center"/>
      <protection locked="0"/>
    </xf>
    <xf numFmtId="0" fontId="25" fillId="21" borderId="68" xfId="2" applyFill="1" applyBorder="1" applyAlignment="1" applyProtection="1">
      <alignment vertical="center"/>
      <protection locked="0"/>
    </xf>
    <xf numFmtId="0" fontId="25" fillId="21" borderId="111" xfId="2" applyFill="1" applyBorder="1" applyAlignment="1" applyProtection="1">
      <alignment horizontal="center" vertical="center"/>
      <protection locked="0"/>
    </xf>
    <xf numFmtId="0" fontId="25" fillId="21" borderId="112" xfId="2" applyFill="1" applyBorder="1" applyAlignment="1" applyProtection="1">
      <alignment horizontal="center" vertical="center"/>
      <protection locked="0"/>
    </xf>
    <xf numFmtId="0" fontId="25" fillId="21" borderId="113" xfId="2" applyFill="1" applyBorder="1" applyAlignment="1" applyProtection="1">
      <alignment horizontal="center" vertical="center"/>
      <protection locked="0"/>
    </xf>
    <xf numFmtId="0" fontId="25" fillId="21" borderId="106" xfId="2" applyFill="1" applyBorder="1" applyAlignment="1" applyProtection="1">
      <alignment vertical="center"/>
      <protection locked="0"/>
    </xf>
    <xf numFmtId="0" fontId="25" fillId="21" borderId="110" xfId="2" applyFill="1" applyBorder="1" applyAlignment="1" applyProtection="1">
      <alignment vertical="center"/>
      <protection locked="0"/>
    </xf>
    <xf numFmtId="0" fontId="25" fillId="21" borderId="92" xfId="2" applyFill="1" applyBorder="1" applyAlignment="1" applyProtection="1">
      <alignment horizontal="center" vertical="center"/>
      <protection locked="0"/>
    </xf>
    <xf numFmtId="0" fontId="25" fillId="21" borderId="93" xfId="2" applyFill="1" applyBorder="1" applyAlignment="1" applyProtection="1">
      <alignment horizontal="center" vertical="center"/>
      <protection locked="0"/>
    </xf>
    <xf numFmtId="0" fontId="0" fillId="0" borderId="140" xfId="0" applyBorder="1"/>
    <xf numFmtId="3" fontId="34" fillId="19" borderId="146" xfId="2" applyNumberFormat="1" applyFont="1" applyFill="1" applyBorder="1" applyAlignment="1">
      <alignment horizontal="center" vertical="center"/>
    </xf>
    <xf numFmtId="3" fontId="34" fillId="19" borderId="147" xfId="2" applyNumberFormat="1" applyFont="1" applyFill="1" applyBorder="1" applyAlignment="1">
      <alignment horizontal="center" vertical="center"/>
    </xf>
    <xf numFmtId="0" fontId="39" fillId="8" borderId="155" xfId="0" applyFont="1" applyFill="1" applyBorder="1" applyAlignment="1">
      <alignment horizontal="center" vertical="center" wrapText="1"/>
    </xf>
    <xf numFmtId="0" fontId="39" fillId="20" borderId="154" xfId="0" applyFont="1" applyFill="1" applyBorder="1" applyAlignment="1">
      <alignment horizontal="center" vertical="center" wrapText="1"/>
    </xf>
    <xf numFmtId="0" fontId="23" fillId="19" borderId="157" xfId="0" applyFont="1" applyFill="1" applyBorder="1" applyAlignment="1">
      <alignment horizontal="center" vertical="center"/>
    </xf>
    <xf numFmtId="0" fontId="39" fillId="20" borderId="155" xfId="0" applyFont="1" applyFill="1" applyBorder="1" applyAlignment="1">
      <alignment horizontal="center" vertical="center" wrapText="1"/>
    </xf>
    <xf numFmtId="0" fontId="23" fillId="19" borderId="158" xfId="0" applyFont="1" applyFill="1" applyBorder="1" applyAlignment="1">
      <alignment horizontal="center" vertical="center"/>
    </xf>
    <xf numFmtId="0" fontId="23" fillId="18" borderId="161" xfId="0" applyFont="1" applyFill="1" applyBorder="1" applyAlignment="1">
      <alignment horizontal="center" vertical="center"/>
    </xf>
    <xf numFmtId="3" fontId="33" fillId="18" borderId="146" xfId="2" applyNumberFormat="1" applyFont="1" applyFill="1" applyBorder="1" applyAlignment="1">
      <alignment horizontal="center" vertical="center"/>
    </xf>
    <xf numFmtId="3" fontId="33" fillId="18" borderId="147" xfId="2" applyNumberFormat="1" applyFont="1" applyFill="1" applyBorder="1" applyAlignment="1">
      <alignment horizontal="center" vertical="center"/>
    </xf>
    <xf numFmtId="3" fontId="33" fillId="18" borderId="145" xfId="2" applyNumberFormat="1" applyFont="1" applyFill="1" applyBorder="1" applyAlignment="1">
      <alignment horizontal="center" vertical="center"/>
    </xf>
    <xf numFmtId="0" fontId="25" fillId="0" borderId="164" xfId="2" applyBorder="1"/>
    <xf numFmtId="0" fontId="0" fillId="0" borderId="0" xfId="0" applyBorder="1"/>
    <xf numFmtId="3" fontId="34" fillId="19" borderId="145" xfId="2" applyNumberFormat="1" applyFont="1" applyFill="1" applyBorder="1" applyAlignment="1">
      <alignment horizontal="center" vertical="center"/>
    </xf>
    <xf numFmtId="0" fontId="28" fillId="7" borderId="166" xfId="2" applyFont="1" applyFill="1" applyBorder="1" applyAlignment="1">
      <alignment horizontal="right"/>
    </xf>
    <xf numFmtId="0" fontId="25" fillId="9" borderId="151" xfId="2" applyFill="1" applyBorder="1" applyAlignment="1">
      <alignment horizontal="center"/>
    </xf>
    <xf numFmtId="0" fontId="25" fillId="9" borderId="152" xfId="2" applyFill="1" applyBorder="1" applyAlignment="1">
      <alignment horizontal="center"/>
    </xf>
    <xf numFmtId="0" fontId="34" fillId="9" borderId="152" xfId="2" applyFont="1" applyFill="1" applyBorder="1" applyAlignment="1">
      <alignment horizontal="center"/>
    </xf>
    <xf numFmtId="0" fontId="34" fillId="9" borderId="153" xfId="2" applyFont="1" applyFill="1" applyBorder="1" applyAlignment="1">
      <alignment horizontal="center"/>
    </xf>
    <xf numFmtId="3" fontId="0" fillId="20" borderId="149" xfId="0" applyNumberFormat="1" applyFill="1" applyBorder="1" applyAlignment="1">
      <alignment horizontal="center" vertical="center"/>
    </xf>
    <xf numFmtId="3" fontId="0" fillId="20" borderId="150" xfId="0" applyNumberFormat="1" applyFill="1" applyBorder="1" applyAlignment="1">
      <alignment horizontal="center" vertical="center"/>
    </xf>
    <xf numFmtId="3" fontId="0" fillId="20" borderId="168" xfId="0" applyNumberFormat="1" applyFill="1" applyBorder="1" applyAlignment="1">
      <alignment horizontal="center" vertical="center"/>
    </xf>
    <xf numFmtId="3" fontId="33" fillId="8" borderId="154" xfId="2" applyNumberFormat="1" applyFont="1" applyFill="1" applyBorder="1" applyAlignment="1">
      <alignment horizontal="center" vertical="center"/>
    </xf>
    <xf numFmtId="3" fontId="34" fillId="19" borderId="169" xfId="2" applyNumberFormat="1" applyFont="1" applyFill="1" applyBorder="1" applyAlignment="1">
      <alignment horizontal="center" vertical="center"/>
    </xf>
    <xf numFmtId="3" fontId="33" fillId="18" borderId="158" xfId="2" applyNumberFormat="1" applyFont="1" applyFill="1" applyBorder="1" applyAlignment="1">
      <alignment horizontal="center" vertical="center"/>
    </xf>
    <xf numFmtId="3" fontId="33" fillId="8" borderId="170" xfId="2" applyNumberFormat="1" applyFont="1" applyFill="1" applyBorder="1" applyAlignment="1">
      <alignment horizontal="center" vertical="center"/>
    </xf>
    <xf numFmtId="0" fontId="0" fillId="0" borderId="171" xfId="0" applyBorder="1"/>
    <xf numFmtId="3" fontId="33" fillId="18" borderId="172" xfId="2" applyNumberFormat="1" applyFont="1" applyFill="1" applyBorder="1" applyAlignment="1">
      <alignment horizontal="center" vertical="center"/>
    </xf>
    <xf numFmtId="3" fontId="0" fillId="8" borderId="142" xfId="0" applyNumberFormat="1" applyFill="1" applyBorder="1" applyAlignment="1">
      <alignment horizontal="center" vertical="center"/>
    </xf>
    <xf numFmtId="3" fontId="0" fillId="8" borderId="150" xfId="0" applyNumberFormat="1" applyFill="1" applyBorder="1" applyAlignment="1">
      <alignment horizontal="center" vertical="center"/>
    </xf>
    <xf numFmtId="3" fontId="0" fillId="8" borderId="144" xfId="0" applyNumberFormat="1" applyFill="1" applyBorder="1" applyAlignment="1">
      <alignment horizontal="center" vertical="center"/>
    </xf>
    <xf numFmtId="0" fontId="8" fillId="21" borderId="0" xfId="0" applyFont="1" applyFill="1"/>
    <xf numFmtId="0" fontId="0" fillId="21" borderId="0" xfId="0" applyFill="1"/>
    <xf numFmtId="0" fontId="2" fillId="7" borderId="1" xfId="0" applyFont="1" applyFill="1" applyBorder="1" applyProtection="1">
      <protection hidden="1"/>
    </xf>
    <xf numFmtId="0" fontId="0" fillId="0" borderId="164" xfId="0" applyBorder="1"/>
    <xf numFmtId="0" fontId="0" fillId="9" borderId="164" xfId="0" applyFill="1" applyBorder="1" applyAlignment="1" applyProtection="1">
      <alignment vertical="center"/>
      <protection hidden="1"/>
    </xf>
    <xf numFmtId="0" fontId="0" fillId="9" borderId="164" xfId="0" applyFill="1" applyBorder="1" applyProtection="1">
      <protection hidden="1"/>
    </xf>
    <xf numFmtId="0" fontId="0" fillId="7" borderId="160" xfId="0" applyFill="1" applyBorder="1" applyAlignment="1">
      <alignment horizontal="center"/>
    </xf>
    <xf numFmtId="0" fontId="16" fillId="9" borderId="174" xfId="0" applyFont="1" applyFill="1" applyBorder="1" applyProtection="1">
      <protection hidden="1"/>
    </xf>
    <xf numFmtId="0" fontId="0" fillId="9" borderId="175" xfId="0" applyFill="1" applyBorder="1" applyAlignment="1">
      <alignment horizontal="center"/>
    </xf>
    <xf numFmtId="0" fontId="16" fillId="9" borderId="165" xfId="0" applyFont="1" applyFill="1" applyBorder="1" applyProtection="1">
      <protection hidden="1"/>
    </xf>
    <xf numFmtId="0" fontId="0" fillId="9" borderId="166" xfId="0" applyFill="1" applyBorder="1" applyAlignment="1">
      <alignment horizontal="center"/>
    </xf>
    <xf numFmtId="0" fontId="0" fillId="9" borderId="163" xfId="0" applyFill="1" applyBorder="1" applyProtection="1">
      <protection hidden="1"/>
    </xf>
    <xf numFmtId="0" fontId="0" fillId="9" borderId="164" xfId="0" applyFill="1" applyBorder="1" applyAlignment="1">
      <alignment horizontal="center"/>
    </xf>
    <xf numFmtId="0" fontId="0" fillId="9" borderId="163" xfId="0" applyFill="1" applyBorder="1" applyAlignment="1" applyProtection="1">
      <alignment vertical="center"/>
      <protection hidden="1"/>
    </xf>
    <xf numFmtId="0" fontId="0" fillId="9" borderId="165" xfId="0" applyFill="1" applyBorder="1" applyAlignment="1" applyProtection="1">
      <alignment vertical="center"/>
      <protection hidden="1"/>
    </xf>
    <xf numFmtId="0" fontId="0" fillId="9" borderId="163" xfId="0" applyFill="1" applyBorder="1" applyAlignment="1">
      <alignment horizontal="center"/>
    </xf>
    <xf numFmtId="0" fontId="0" fillId="9" borderId="165" xfId="0" applyFill="1" applyBorder="1" applyAlignment="1">
      <alignment horizontal="center"/>
    </xf>
    <xf numFmtId="0" fontId="0" fillId="7" borderId="160" xfId="0" applyFill="1" applyBorder="1"/>
    <xf numFmtId="0" fontId="2" fillId="7" borderId="19" xfId="0" applyFont="1" applyFill="1" applyBorder="1" applyAlignment="1" applyProtection="1">
      <alignment vertical="center"/>
      <protection hidden="1"/>
    </xf>
    <xf numFmtId="0" fontId="2" fillId="7" borderId="5" xfId="0" applyFont="1" applyFill="1" applyBorder="1" applyProtection="1">
      <protection hidden="1"/>
    </xf>
    <xf numFmtId="0" fontId="0" fillId="0" borderId="0" xfId="0" applyFill="1"/>
    <xf numFmtId="0" fontId="41" fillId="24" borderId="173" xfId="0" applyFont="1" applyFill="1" applyBorder="1" applyProtection="1">
      <protection hidden="1"/>
    </xf>
    <xf numFmtId="0" fontId="0" fillId="24" borderId="139" xfId="0" applyFill="1" applyBorder="1" applyAlignment="1">
      <alignment horizontal="center"/>
    </xf>
    <xf numFmtId="0" fontId="7" fillId="24" borderId="139" xfId="0" applyFont="1" applyFill="1" applyBorder="1" applyAlignment="1">
      <alignment horizontal="center" vertical="center"/>
    </xf>
    <xf numFmtId="3" fontId="8" fillId="22" borderId="0" xfId="0" applyNumberFormat="1" applyFont="1" applyFill="1" applyAlignment="1">
      <alignment horizontal="center" vertical="center"/>
    </xf>
    <xf numFmtId="0" fontId="25" fillId="0" borderId="0" xfId="2" applyAlignment="1"/>
    <xf numFmtId="0" fontId="25" fillId="21" borderId="176" xfId="2" applyFill="1" applyBorder="1" applyAlignment="1">
      <alignment horizontal="center" vertical="center"/>
    </xf>
    <xf numFmtId="0" fontId="25" fillId="21" borderId="150" xfId="2" applyFill="1" applyBorder="1" applyAlignment="1">
      <alignment horizontal="center" vertical="center"/>
    </xf>
    <xf numFmtId="0" fontId="25" fillId="21" borderId="147" xfId="2" applyFill="1" applyBorder="1" applyAlignment="1">
      <alignment horizontal="center" vertical="center"/>
    </xf>
    <xf numFmtId="0" fontId="25" fillId="21" borderId="143" xfId="2" applyFill="1" applyBorder="1" applyAlignment="1">
      <alignment horizontal="center" vertical="center"/>
    </xf>
    <xf numFmtId="0" fontId="25" fillId="21" borderId="144" xfId="2" applyFill="1" applyBorder="1" applyAlignment="1">
      <alignment horizontal="center" vertical="center"/>
    </xf>
    <xf numFmtId="0" fontId="25" fillId="21" borderId="145" xfId="2" applyFill="1" applyBorder="1" applyAlignment="1">
      <alignment horizontal="center" vertical="center"/>
    </xf>
    <xf numFmtId="0" fontId="25" fillId="0" borderId="177" xfId="2" applyBorder="1" applyAlignment="1"/>
    <xf numFmtId="0" fontId="39" fillId="0" borderId="0" xfId="0" applyFont="1"/>
    <xf numFmtId="0" fontId="43" fillId="0" borderId="0" xfId="0" applyFont="1"/>
    <xf numFmtId="0" fontId="43" fillId="0" borderId="0" xfId="0" applyFont="1" applyAlignment="1">
      <alignment horizontal="center"/>
    </xf>
    <xf numFmtId="3" fontId="44" fillId="0" borderId="0" xfId="2" applyNumberFormat="1" applyFont="1"/>
    <xf numFmtId="0" fontId="40" fillId="6" borderId="0" xfId="0" applyFont="1" applyFill="1" applyAlignment="1">
      <alignment horizontal="left" vertical="center"/>
    </xf>
    <xf numFmtId="0" fontId="0" fillId="6" borderId="0" xfId="0" applyFill="1"/>
    <xf numFmtId="0" fontId="24" fillId="0" borderId="0" xfId="0" applyFont="1"/>
    <xf numFmtId="0" fontId="42" fillId="0" borderId="140" xfId="0" applyFont="1" applyBorder="1"/>
    <xf numFmtId="0" fontId="0" fillId="22" borderId="3" xfId="0" applyFill="1" applyBorder="1" applyAlignment="1" applyProtection="1">
      <alignment horizontal="center" vertical="center"/>
      <protection locked="0"/>
    </xf>
    <xf numFmtId="0" fontId="0" fillId="22" borderId="3" xfId="0" applyFill="1" applyBorder="1" applyAlignment="1" applyProtection="1">
      <alignment horizontal="center"/>
      <protection locked="0"/>
    </xf>
    <xf numFmtId="0" fontId="44" fillId="0" borderId="0" xfId="2" applyFont="1"/>
    <xf numFmtId="3" fontId="33" fillId="18" borderId="179" xfId="2" applyNumberFormat="1" applyFont="1" applyFill="1" applyBorder="1" applyAlignment="1">
      <alignment horizontal="center" vertical="center"/>
    </xf>
    <xf numFmtId="3" fontId="0" fillId="20" borderId="180" xfId="0" applyNumberFormat="1" applyFill="1" applyBorder="1" applyAlignment="1">
      <alignment horizontal="center" vertical="center"/>
    </xf>
    <xf numFmtId="0" fontId="25" fillId="21" borderId="42" xfId="2" applyFill="1" applyBorder="1" applyAlignment="1" applyProtection="1">
      <alignment vertical="center"/>
      <protection locked="0"/>
    </xf>
    <xf numFmtId="0" fontId="25" fillId="21" borderId="54" xfId="2" applyFill="1" applyBorder="1" applyAlignment="1" applyProtection="1">
      <alignment vertical="center"/>
      <protection locked="0"/>
    </xf>
    <xf numFmtId="0" fontId="25" fillId="21" borderId="181" xfId="2" applyFill="1" applyBorder="1" applyAlignment="1" applyProtection="1">
      <alignment horizontal="center" vertical="center"/>
      <protection locked="0"/>
    </xf>
    <xf numFmtId="0" fontId="25" fillId="21" borderId="182" xfId="2" applyFill="1" applyBorder="1" applyAlignment="1" applyProtection="1">
      <alignment horizontal="center" vertical="center"/>
      <protection locked="0"/>
    </xf>
    <xf numFmtId="0" fontId="25" fillId="21" borderId="183" xfId="2" applyFill="1" applyBorder="1" applyAlignment="1" applyProtection="1">
      <alignment horizontal="center" vertical="center"/>
      <protection locked="0"/>
    </xf>
    <xf numFmtId="0" fontId="45" fillId="6" borderId="0" xfId="0" applyFont="1" applyFill="1"/>
    <xf numFmtId="3" fontId="0" fillId="0" borderId="0" xfId="0" applyNumberFormat="1"/>
    <xf numFmtId="0" fontId="0" fillId="7" borderId="0" xfId="0" applyFill="1"/>
    <xf numFmtId="0" fontId="25" fillId="21" borderId="68" xfId="2" applyFill="1" applyBorder="1" applyAlignment="1" applyProtection="1">
      <alignment horizontal="center" vertical="center"/>
      <protection locked="0"/>
    </xf>
    <xf numFmtId="0" fontId="25" fillId="21" borderId="54" xfId="2" applyFill="1" applyBorder="1" applyAlignment="1" applyProtection="1">
      <alignment horizontal="center" vertical="center"/>
      <protection locked="0"/>
    </xf>
    <xf numFmtId="0" fontId="29" fillId="19" borderId="55" xfId="2" applyFont="1" applyFill="1" applyBorder="1" applyAlignment="1" applyProtection="1">
      <alignment horizontal="center" vertical="center" wrapText="1"/>
      <protection hidden="1"/>
    </xf>
    <xf numFmtId="0" fontId="25" fillId="19" borderId="55" xfId="2" applyFill="1" applyBorder="1" applyAlignment="1" applyProtection="1">
      <alignment horizontal="center" vertical="center"/>
      <protection hidden="1"/>
    </xf>
    <xf numFmtId="0" fontId="29" fillId="19" borderId="84" xfId="2" applyFont="1" applyFill="1" applyBorder="1" applyAlignment="1" applyProtection="1">
      <alignment horizontal="center" vertical="center" wrapText="1"/>
      <protection hidden="1"/>
    </xf>
    <xf numFmtId="0" fontId="25" fillId="19" borderId="84" xfId="2" applyFill="1" applyBorder="1" applyAlignment="1" applyProtection="1">
      <alignment horizontal="center" vertical="center"/>
      <protection hidden="1"/>
    </xf>
    <xf numFmtId="1" fontId="25" fillId="19" borderId="69" xfId="2" applyNumberFormat="1" applyFont="1" applyFill="1" applyBorder="1" applyAlignment="1" applyProtection="1">
      <alignment horizontal="center" vertical="center"/>
      <protection hidden="1"/>
    </xf>
    <xf numFmtId="1" fontId="25" fillId="19" borderId="67" xfId="2" applyNumberFormat="1" applyFill="1" applyBorder="1" applyAlignment="1" applyProtection="1">
      <alignment horizontal="center" vertical="center"/>
      <protection hidden="1"/>
    </xf>
    <xf numFmtId="0" fontId="25" fillId="0" borderId="0" xfId="2" applyFill="1" applyBorder="1" applyAlignment="1" applyProtection="1">
      <alignment horizontal="left" vertical="center"/>
      <protection hidden="1"/>
    </xf>
    <xf numFmtId="0" fontId="25" fillId="0" borderId="0" xfId="2" applyProtection="1">
      <protection hidden="1"/>
    </xf>
    <xf numFmtId="3" fontId="47" fillId="0" borderId="0" xfId="2" applyNumberFormat="1" applyFont="1" applyProtection="1">
      <protection hidden="1"/>
    </xf>
    <xf numFmtId="0" fontId="25" fillId="0" borderId="0" xfId="2" applyFill="1" applyBorder="1" applyAlignment="1" applyProtection="1">
      <alignment horizontal="center" vertical="center"/>
      <protection hidden="1"/>
    </xf>
    <xf numFmtId="0" fontId="28" fillId="0" borderId="0" xfId="2" applyFont="1" applyFill="1" applyBorder="1" applyAlignment="1" applyProtection="1">
      <alignment horizontal="right"/>
      <protection hidden="1"/>
    </xf>
    <xf numFmtId="0" fontId="33" fillId="0" borderId="0" xfId="2" applyFont="1" applyFill="1" applyBorder="1" applyAlignment="1" applyProtection="1">
      <alignment horizontal="left" vertical="center"/>
      <protection hidden="1"/>
    </xf>
    <xf numFmtId="0" fontId="25" fillId="0" borderId="0" xfId="2" applyBorder="1" applyProtection="1">
      <protection hidden="1"/>
    </xf>
    <xf numFmtId="0" fontId="26" fillId="14" borderId="0" xfId="2" applyFont="1" applyFill="1" applyProtection="1">
      <protection hidden="1"/>
    </xf>
    <xf numFmtId="0" fontId="25" fillId="15" borderId="0" xfId="2" applyFill="1" applyProtection="1">
      <protection hidden="1"/>
    </xf>
    <xf numFmtId="0" fontId="26" fillId="23" borderId="0" xfId="2" applyFont="1" applyFill="1" applyProtection="1">
      <protection hidden="1"/>
    </xf>
    <xf numFmtId="0" fontId="25" fillId="4" borderId="0" xfId="2" applyFill="1" applyProtection="1"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26" fillId="0" borderId="0" xfId="2" applyFont="1" applyFill="1" applyProtection="1">
      <protection hidden="1"/>
    </xf>
    <xf numFmtId="0" fontId="35" fillId="0" borderId="0" xfId="2" applyFont="1" applyAlignment="1" applyProtection="1">
      <alignment horizontal="left" vertical="top"/>
      <protection hidden="1"/>
    </xf>
    <xf numFmtId="0" fontId="25" fillId="0" borderId="0" xfId="2" applyAlignment="1" applyProtection="1">
      <alignment horizontal="center" vertical="center"/>
      <protection hidden="1"/>
    </xf>
    <xf numFmtId="0" fontId="30" fillId="0" borderId="53" xfId="2" applyFont="1" applyBorder="1" applyAlignment="1" applyProtection="1">
      <alignment horizontal="center" vertical="center" wrapText="1"/>
      <protection hidden="1"/>
    </xf>
    <xf numFmtId="0" fontId="29" fillId="20" borderId="55" xfId="2" applyFont="1" applyFill="1" applyBorder="1" applyAlignment="1" applyProtection="1">
      <alignment horizontal="center" vertical="center" wrapText="1"/>
      <protection hidden="1"/>
    </xf>
    <xf numFmtId="0" fontId="25" fillId="20" borderId="55" xfId="2" applyFill="1" applyBorder="1" applyAlignment="1" applyProtection="1">
      <alignment horizontal="center" vertical="center"/>
      <protection hidden="1"/>
    </xf>
    <xf numFmtId="1" fontId="25" fillId="20" borderId="79" xfId="2" applyNumberFormat="1" applyFill="1" applyBorder="1" applyAlignment="1" applyProtection="1">
      <alignment horizontal="center" vertical="center"/>
      <protection hidden="1"/>
    </xf>
    <xf numFmtId="1" fontId="25" fillId="20" borderId="73" xfId="2" applyNumberFormat="1" applyFont="1" applyFill="1" applyBorder="1" applyAlignment="1" applyProtection="1">
      <alignment horizontal="center" vertical="center"/>
      <protection hidden="1"/>
    </xf>
    <xf numFmtId="0" fontId="25" fillId="0" borderId="5" xfId="2" applyBorder="1" applyProtection="1">
      <protection hidden="1"/>
    </xf>
    <xf numFmtId="0" fontId="30" fillId="22" borderId="53" xfId="2" applyFont="1" applyFill="1" applyBorder="1" applyAlignment="1" applyProtection="1">
      <alignment horizontal="center" vertical="center" wrapText="1"/>
      <protection hidden="1"/>
    </xf>
    <xf numFmtId="0" fontId="28" fillId="22" borderId="53" xfId="2" applyFont="1" applyFill="1" applyBorder="1" applyAlignment="1" applyProtection="1">
      <alignment horizontal="center" wrapText="1"/>
      <protection hidden="1"/>
    </xf>
    <xf numFmtId="0" fontId="33" fillId="22" borderId="139" xfId="2" applyFont="1" applyFill="1" applyBorder="1" applyAlignment="1" applyProtection="1">
      <alignment horizontal="center" vertical="center"/>
      <protection hidden="1"/>
    </xf>
    <xf numFmtId="0" fontId="25" fillId="7" borderId="178" xfId="2" applyFill="1" applyBorder="1" applyAlignment="1" applyProtection="1">
      <alignment horizontal="center" vertical="center" wrapText="1"/>
      <protection hidden="1"/>
    </xf>
    <xf numFmtId="0" fontId="25" fillId="7" borderId="167" xfId="2" applyFill="1" applyBorder="1" applyAlignment="1" applyProtection="1">
      <alignment horizontal="center" vertical="center" wrapText="1"/>
      <protection hidden="1"/>
    </xf>
    <xf numFmtId="0" fontId="28" fillId="24" borderId="139" xfId="2" applyFont="1" applyFill="1" applyBorder="1" applyAlignment="1" applyProtection="1">
      <alignment horizontal="center" vertical="center"/>
      <protection hidden="1"/>
    </xf>
    <xf numFmtId="0" fontId="25" fillId="8" borderId="155" xfId="2" applyFill="1" applyBorder="1" applyAlignment="1" applyProtection="1">
      <alignment horizontal="center" vertical="center"/>
      <protection hidden="1"/>
    </xf>
    <xf numFmtId="0" fontId="25" fillId="18" borderId="176" xfId="2" applyFill="1" applyBorder="1" applyAlignment="1" applyProtection="1">
      <alignment horizontal="center" vertical="center"/>
      <protection hidden="1"/>
    </xf>
    <xf numFmtId="0" fontId="25" fillId="8" borderId="150" xfId="2" applyFill="1" applyBorder="1" applyAlignment="1" applyProtection="1">
      <alignment horizontal="center" vertical="center"/>
      <protection hidden="1"/>
    </xf>
    <xf numFmtId="0" fontId="25" fillId="18" borderId="147" xfId="2" applyFill="1" applyBorder="1" applyAlignment="1" applyProtection="1">
      <alignment horizontal="center" vertical="center"/>
      <protection hidden="1"/>
    </xf>
    <xf numFmtId="0" fontId="8" fillId="21" borderId="0" xfId="0" applyFont="1" applyFill="1" applyProtection="1">
      <protection hidden="1"/>
    </xf>
    <xf numFmtId="0" fontId="0" fillId="21" borderId="0" xfId="0" applyFill="1" applyProtection="1">
      <protection hidden="1"/>
    </xf>
    <xf numFmtId="0" fontId="23" fillId="19" borderId="157" xfId="0" applyFont="1" applyFill="1" applyBorder="1" applyAlignment="1" applyProtection="1">
      <alignment horizontal="center" vertical="center"/>
      <protection hidden="1"/>
    </xf>
    <xf numFmtId="0" fontId="39" fillId="20" borderId="155" xfId="0" applyFont="1" applyFill="1" applyBorder="1" applyAlignment="1" applyProtection="1">
      <alignment horizontal="center" vertical="center" wrapText="1"/>
      <protection hidden="1"/>
    </xf>
    <xf numFmtId="0" fontId="23" fillId="19" borderId="158" xfId="0" applyFont="1" applyFill="1" applyBorder="1" applyAlignment="1" applyProtection="1">
      <alignment horizontal="center" vertical="center"/>
      <protection hidden="1"/>
    </xf>
    <xf numFmtId="0" fontId="39" fillId="20" borderId="154" xfId="0" applyFont="1" applyFill="1" applyBorder="1" applyAlignment="1" applyProtection="1">
      <alignment horizontal="center" vertical="center" wrapText="1"/>
      <protection hidden="1"/>
    </xf>
    <xf numFmtId="0" fontId="23" fillId="18" borderId="161" xfId="0" applyFont="1" applyFill="1" applyBorder="1" applyAlignment="1" applyProtection="1">
      <alignment horizontal="center" vertical="center"/>
      <protection hidden="1"/>
    </xf>
    <xf numFmtId="0" fontId="39" fillId="8" borderId="155" xfId="0" applyFont="1" applyFill="1" applyBorder="1" applyAlignment="1" applyProtection="1">
      <alignment horizontal="center" vertical="center" wrapText="1"/>
      <protection hidden="1"/>
    </xf>
    <xf numFmtId="0" fontId="25" fillId="0" borderId="164" xfId="2" applyBorder="1" applyProtection="1">
      <protection hidden="1"/>
    </xf>
    <xf numFmtId="0" fontId="25" fillId="9" borderId="151" xfId="2" applyFill="1" applyBorder="1" applyAlignment="1" applyProtection="1">
      <alignment horizontal="center"/>
      <protection hidden="1"/>
    </xf>
    <xf numFmtId="3" fontId="34" fillId="19" borderId="146" xfId="2" applyNumberFormat="1" applyFont="1" applyFill="1" applyBorder="1" applyAlignment="1" applyProtection="1">
      <alignment horizontal="center" vertical="center"/>
      <protection hidden="1"/>
    </xf>
    <xf numFmtId="3" fontId="0" fillId="20" borderId="149" xfId="0" applyNumberFormat="1" applyFill="1" applyBorder="1" applyAlignment="1" applyProtection="1">
      <alignment horizontal="center" vertical="center"/>
      <protection hidden="1"/>
    </xf>
    <xf numFmtId="3" fontId="33" fillId="18" borderId="146" xfId="2" applyNumberFormat="1" applyFont="1" applyFill="1" applyBorder="1" applyAlignment="1" applyProtection="1">
      <alignment horizontal="center" vertical="center"/>
      <protection hidden="1"/>
    </xf>
    <xf numFmtId="3" fontId="0" fillId="8" borderId="142" xfId="0" applyNumberFormat="1" applyFill="1" applyBorder="1" applyAlignment="1" applyProtection="1">
      <alignment horizontal="center" vertical="center"/>
      <protection hidden="1"/>
    </xf>
    <xf numFmtId="0" fontId="25" fillId="9" borderId="152" xfId="2" applyFill="1" applyBorder="1" applyAlignment="1" applyProtection="1">
      <alignment horizontal="center"/>
      <protection hidden="1"/>
    </xf>
    <xf numFmtId="3" fontId="34" fillId="19" borderId="147" xfId="2" applyNumberFormat="1" applyFont="1" applyFill="1" applyBorder="1" applyAlignment="1" applyProtection="1">
      <alignment horizontal="center" vertical="center"/>
      <protection hidden="1"/>
    </xf>
    <xf numFmtId="3" fontId="0" fillId="20" borderId="150" xfId="0" applyNumberFormat="1" applyFill="1" applyBorder="1" applyAlignment="1" applyProtection="1">
      <alignment horizontal="center" vertical="center"/>
      <protection hidden="1"/>
    </xf>
    <xf numFmtId="3" fontId="33" fillId="18" borderId="147" xfId="2" applyNumberFormat="1" applyFont="1" applyFill="1" applyBorder="1" applyAlignment="1" applyProtection="1">
      <alignment horizontal="center" vertical="center"/>
      <protection hidden="1"/>
    </xf>
    <xf numFmtId="3" fontId="0" fillId="8" borderId="150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34" fillId="9" borderId="152" xfId="2" applyFont="1" applyFill="1" applyBorder="1" applyAlignment="1" applyProtection="1">
      <alignment horizontal="center"/>
      <protection hidden="1"/>
    </xf>
    <xf numFmtId="0" fontId="34" fillId="9" borderId="153" xfId="2" applyFont="1" applyFill="1" applyBorder="1" applyAlignment="1" applyProtection="1">
      <alignment horizontal="center"/>
      <protection hidden="1"/>
    </xf>
    <xf numFmtId="3" fontId="34" fillId="19" borderId="145" xfId="2" applyNumberFormat="1" applyFont="1" applyFill="1" applyBorder="1" applyAlignment="1" applyProtection="1">
      <alignment horizontal="center" vertical="center"/>
      <protection hidden="1"/>
    </xf>
    <xf numFmtId="3" fontId="0" fillId="20" borderId="168" xfId="0" applyNumberFormat="1" applyFill="1" applyBorder="1" applyAlignment="1" applyProtection="1">
      <alignment horizontal="center" vertical="center"/>
      <protection hidden="1"/>
    </xf>
    <xf numFmtId="3" fontId="34" fillId="19" borderId="169" xfId="2" applyNumberFormat="1" applyFont="1" applyFill="1" applyBorder="1" applyAlignment="1" applyProtection="1">
      <alignment horizontal="center" vertical="center"/>
      <protection hidden="1"/>
    </xf>
    <xf numFmtId="3" fontId="0" fillId="20" borderId="180" xfId="0" applyNumberFormat="1" applyFill="1" applyBorder="1" applyAlignment="1" applyProtection="1">
      <alignment horizontal="center" vertical="center"/>
      <protection hidden="1"/>
    </xf>
    <xf numFmtId="3" fontId="33" fillId="18" borderId="145" xfId="2" applyNumberFormat="1" applyFont="1" applyFill="1" applyBorder="1" applyAlignment="1" applyProtection="1">
      <alignment horizontal="center" vertical="center"/>
      <protection hidden="1"/>
    </xf>
    <xf numFmtId="3" fontId="0" fillId="8" borderId="144" xfId="0" applyNumberFormat="1" applyFill="1" applyBorder="1" applyAlignment="1" applyProtection="1">
      <alignment horizontal="center" vertical="center"/>
      <protection hidden="1"/>
    </xf>
    <xf numFmtId="0" fontId="28" fillId="7" borderId="166" xfId="2" applyFont="1" applyFill="1" applyBorder="1" applyAlignment="1" applyProtection="1">
      <alignment horizontal="right"/>
      <protection hidden="1"/>
    </xf>
    <xf numFmtId="3" fontId="33" fillId="18" borderId="172" xfId="2" applyNumberFormat="1" applyFont="1" applyFill="1" applyBorder="1" applyAlignment="1" applyProtection="1">
      <alignment horizontal="center" vertical="center"/>
      <protection hidden="1"/>
    </xf>
    <xf numFmtId="3" fontId="33" fillId="8" borderId="154" xfId="2" applyNumberFormat="1" applyFont="1" applyFill="1" applyBorder="1" applyAlignment="1" applyProtection="1">
      <alignment horizontal="center" vertical="center"/>
      <protection hidden="1"/>
    </xf>
    <xf numFmtId="3" fontId="33" fillId="18" borderId="158" xfId="2" applyNumberFormat="1" applyFont="1" applyFill="1" applyBorder="1" applyAlignment="1" applyProtection="1">
      <alignment horizontal="center" vertical="center"/>
      <protection hidden="1"/>
    </xf>
    <xf numFmtId="3" fontId="33" fillId="18" borderId="179" xfId="2" applyNumberFormat="1" applyFont="1" applyFill="1" applyBorder="1" applyAlignment="1" applyProtection="1">
      <alignment horizontal="center" vertical="center"/>
      <protection hidden="1"/>
    </xf>
    <xf numFmtId="3" fontId="33" fillId="8" borderId="170" xfId="2" applyNumberFormat="1" applyFont="1" applyFill="1" applyBorder="1" applyAlignment="1" applyProtection="1">
      <alignment horizontal="center" vertical="center"/>
      <protection hidden="1"/>
    </xf>
    <xf numFmtId="0" fontId="0" fillId="0" borderId="171" xfId="0" applyBorder="1" applyProtection="1">
      <protection hidden="1"/>
    </xf>
    <xf numFmtId="0" fontId="0" fillId="0" borderId="164" xfId="0" applyBorder="1" applyProtection="1">
      <protection hidden="1"/>
    </xf>
    <xf numFmtId="0" fontId="7" fillId="24" borderId="139" xfId="0" applyFont="1" applyFill="1" applyBorder="1" applyAlignment="1" applyProtection="1">
      <alignment horizontal="center" vertical="center"/>
      <protection hidden="1"/>
    </xf>
    <xf numFmtId="0" fontId="0" fillId="7" borderId="160" xfId="0" applyFill="1" applyBorder="1" applyProtection="1">
      <protection hidden="1"/>
    </xf>
    <xf numFmtId="0" fontId="40" fillId="6" borderId="0" xfId="0" applyFont="1" applyFill="1" applyAlignment="1" applyProtection="1">
      <alignment horizontal="left" vertical="center"/>
      <protection hidden="1"/>
    </xf>
    <xf numFmtId="3" fontId="8" fillId="2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48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0" fillId="7" borderId="160" xfId="0" applyFill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0" fillId="24" borderId="139" xfId="0" applyFill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166" fontId="0" fillId="0" borderId="0" xfId="0" applyNumberFormat="1"/>
    <xf numFmtId="166" fontId="39" fillId="0" borderId="0" xfId="0" applyNumberFormat="1" applyFont="1"/>
    <xf numFmtId="0" fontId="7" fillId="6" borderId="0" xfId="0" applyFont="1" applyFill="1" applyAlignment="1" applyProtection="1">
      <alignment horizontal="left" vertical="center"/>
      <protection hidden="1"/>
    </xf>
    <xf numFmtId="0" fontId="23" fillId="6" borderId="0" xfId="0" applyFon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locked="0"/>
    </xf>
    <xf numFmtId="0" fontId="0" fillId="0" borderId="0" xfId="0" applyProtection="1"/>
    <xf numFmtId="0" fontId="0" fillId="18" borderId="0" xfId="0" applyFill="1" applyProtection="1"/>
    <xf numFmtId="0" fontId="0" fillId="22" borderId="0" xfId="0" applyFill="1" applyProtection="1"/>
    <xf numFmtId="0" fontId="50" fillId="0" borderId="0" xfId="0" applyFont="1" applyProtection="1"/>
    <xf numFmtId="0" fontId="40" fillId="25" borderId="0" xfId="0" applyFont="1" applyFill="1" applyProtection="1"/>
    <xf numFmtId="0" fontId="0" fillId="25" borderId="0" xfId="0" applyFill="1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25" borderId="0" xfId="0" applyFill="1" applyProtection="1"/>
    <xf numFmtId="0" fontId="0" fillId="18" borderId="0" xfId="0" applyFill="1" applyAlignment="1" applyProtection="1">
      <alignment wrapText="1"/>
    </xf>
    <xf numFmtId="0" fontId="0" fillId="22" borderId="10" xfId="0" applyFill="1" applyBorder="1" applyAlignment="1" applyProtection="1">
      <alignment horizontal="center"/>
      <protection locked="0"/>
    </xf>
    <xf numFmtId="166" fontId="0" fillId="22" borderId="10" xfId="0" applyNumberFormat="1" applyFill="1" applyBorder="1" applyAlignment="1" applyProtection="1">
      <alignment horizontal="center"/>
      <protection locked="0"/>
    </xf>
    <xf numFmtId="14" fontId="0" fillId="22" borderId="10" xfId="0" applyNumberFormat="1" applyFill="1" applyBorder="1" applyAlignment="1" applyProtection="1">
      <alignment horizontal="center"/>
      <protection locked="0"/>
    </xf>
    <xf numFmtId="0" fontId="53" fillId="26" borderId="0" xfId="0" applyFont="1" applyFill="1" applyAlignment="1" applyProtection="1">
      <alignment horizontal="center" vertical="center"/>
    </xf>
    <xf numFmtId="0" fontId="45" fillId="26" borderId="0" xfId="0" applyFont="1" applyFill="1" applyAlignment="1" applyProtection="1">
      <alignment horizontal="center" vertical="center" wrapText="1"/>
    </xf>
    <xf numFmtId="14" fontId="0" fillId="0" borderId="0" xfId="0" applyNumberFormat="1"/>
    <xf numFmtId="14" fontId="0" fillId="6" borderId="0" xfId="0" applyNumberFormat="1" applyFill="1"/>
    <xf numFmtId="0" fontId="25" fillId="21" borderId="98" xfId="2" applyFill="1" applyBorder="1" applyAlignment="1" applyProtection="1">
      <alignment horizontal="center" vertical="center"/>
      <protection locked="0"/>
    </xf>
    <xf numFmtId="0" fontId="25" fillId="21" borderId="110" xfId="2" applyFill="1" applyBorder="1" applyAlignment="1" applyProtection="1">
      <alignment horizontal="center" vertical="center"/>
      <protection locked="0"/>
    </xf>
    <xf numFmtId="2" fontId="25" fillId="18" borderId="157" xfId="2" applyNumberFormat="1" applyFill="1" applyBorder="1" applyAlignment="1" applyProtection="1">
      <alignment horizontal="center" vertical="center"/>
      <protection hidden="1"/>
    </xf>
    <xf numFmtId="2" fontId="25" fillId="18" borderId="161" xfId="2" applyNumberFormat="1" applyFill="1" applyBorder="1" applyAlignment="1" applyProtection="1">
      <alignment horizontal="center" vertical="center"/>
      <protection hidden="1"/>
    </xf>
    <xf numFmtId="0" fontId="25" fillId="21" borderId="191" xfId="2" applyFill="1" applyBorder="1" applyAlignment="1" applyProtection="1">
      <alignment horizontal="center" vertical="center"/>
      <protection locked="0"/>
    </xf>
    <xf numFmtId="0" fontId="25" fillId="21" borderId="192" xfId="2" applyFill="1" applyBorder="1" applyAlignment="1" applyProtection="1">
      <alignment horizontal="center" vertical="center"/>
      <protection locked="0"/>
    </xf>
    <xf numFmtId="0" fontId="25" fillId="21" borderId="193" xfId="2" applyFill="1" applyBorder="1" applyAlignment="1" applyProtection="1">
      <alignment horizontal="center" vertical="center"/>
      <protection locked="0"/>
    </xf>
    <xf numFmtId="0" fontId="25" fillId="21" borderId="106" xfId="2" applyFill="1" applyBorder="1" applyAlignment="1" applyProtection="1">
      <alignment horizontal="center" vertical="center"/>
      <protection locked="0"/>
    </xf>
    <xf numFmtId="2" fontId="0" fillId="0" borderId="0" xfId="0" applyNumberFormat="1"/>
    <xf numFmtId="1" fontId="25" fillId="21" borderId="69" xfId="2" applyNumberFormat="1" applyFont="1" applyFill="1" applyBorder="1" applyAlignment="1" applyProtection="1">
      <alignment horizontal="center" vertical="center"/>
      <protection locked="0" hidden="1"/>
    </xf>
    <xf numFmtId="0" fontId="0" fillId="9" borderId="174" xfId="0" applyFill="1" applyBorder="1" applyAlignment="1">
      <alignment horizontal="center" vertical="center"/>
    </xf>
    <xf numFmtId="1" fontId="25" fillId="20" borderId="67" xfId="2" applyNumberFormat="1" applyFill="1" applyBorder="1" applyAlignment="1" applyProtection="1">
      <alignment horizontal="center" vertical="center"/>
      <protection hidden="1"/>
    </xf>
    <xf numFmtId="1" fontId="25" fillId="20" borderId="69" xfId="2" applyNumberFormat="1" applyFont="1" applyFill="1" applyBorder="1" applyAlignment="1" applyProtection="1">
      <alignment horizontal="center" vertical="center"/>
      <protection hidden="1"/>
    </xf>
    <xf numFmtId="1" fontId="25" fillId="19" borderId="79" xfId="2" applyNumberFormat="1" applyFill="1" applyBorder="1" applyAlignment="1" applyProtection="1">
      <alignment horizontal="center" vertical="center"/>
      <protection hidden="1"/>
    </xf>
    <xf numFmtId="2" fontId="0" fillId="9" borderId="175" xfId="0" applyNumberFormat="1" applyFill="1" applyBorder="1" applyAlignment="1" applyProtection="1">
      <alignment horizontal="center"/>
      <protection hidden="1"/>
    </xf>
    <xf numFmtId="2" fontId="0" fillId="9" borderId="164" xfId="0" applyNumberFormat="1" applyFill="1" applyBorder="1" applyAlignment="1" applyProtection="1">
      <alignment horizontal="center"/>
      <protection hidden="1"/>
    </xf>
    <xf numFmtId="2" fontId="0" fillId="9" borderId="166" xfId="0" applyNumberFormat="1" applyFill="1" applyBorder="1" applyAlignment="1" applyProtection="1">
      <alignment horizontal="center"/>
      <protection hidden="1"/>
    </xf>
    <xf numFmtId="2" fontId="0" fillId="9" borderId="163" xfId="0" applyNumberFormat="1" applyFill="1" applyBorder="1" applyAlignment="1" applyProtection="1">
      <alignment horizontal="center"/>
      <protection hidden="1"/>
    </xf>
    <xf numFmtId="2" fontId="0" fillId="9" borderId="165" xfId="0" applyNumberFormat="1" applyFill="1" applyBorder="1" applyAlignment="1" applyProtection="1">
      <alignment horizontal="center"/>
      <protection hidden="1"/>
    </xf>
    <xf numFmtId="2" fontId="0" fillId="9" borderId="174" xfId="0" applyNumberFormat="1" applyFill="1" applyBorder="1" applyAlignment="1" applyProtection="1">
      <alignment horizontal="center" vertical="center"/>
      <protection hidden="1"/>
    </xf>
    <xf numFmtId="0" fontId="0" fillId="22" borderId="0" xfId="0" applyFill="1" applyProtection="1">
      <protection locked="0"/>
    </xf>
    <xf numFmtId="0" fontId="23" fillId="6" borderId="0" xfId="0" applyFont="1" applyFill="1" applyAlignment="1" applyProtection="1">
      <alignment horizontal="left" vertical="center"/>
      <protection hidden="1"/>
    </xf>
    <xf numFmtId="0" fontId="28" fillId="0" borderId="19" xfId="2" applyFont="1" applyBorder="1" applyAlignment="1">
      <alignment horizontal="center" vertical="center"/>
    </xf>
    <xf numFmtId="0" fontId="28" fillId="0" borderId="39" xfId="2" applyFont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28" fillId="0" borderId="36" xfId="2" applyFont="1" applyBorder="1" applyAlignment="1">
      <alignment horizontal="center" vertical="center"/>
    </xf>
    <xf numFmtId="0" fontId="25" fillId="0" borderId="21" xfId="2" applyBorder="1" applyAlignment="1">
      <alignment horizontal="center" vertical="center"/>
    </xf>
    <xf numFmtId="0" fontId="25" fillId="0" borderId="22" xfId="2" applyBorder="1" applyAlignment="1">
      <alignment horizontal="center" vertical="center"/>
    </xf>
    <xf numFmtId="0" fontId="25" fillId="0" borderId="40" xfId="2" applyBorder="1" applyAlignment="1">
      <alignment horizontal="center" vertical="center"/>
    </xf>
    <xf numFmtId="0" fontId="25" fillId="0" borderId="21" xfId="2" applyBorder="1" applyAlignment="1">
      <alignment horizontal="center"/>
    </xf>
    <xf numFmtId="0" fontId="25" fillId="0" borderId="40" xfId="2" applyBorder="1" applyAlignment="1">
      <alignment horizontal="center"/>
    </xf>
    <xf numFmtId="3" fontId="30" fillId="16" borderId="24" xfId="2" applyNumberFormat="1" applyFont="1" applyFill="1" applyBorder="1" applyAlignment="1">
      <alignment horizontal="center" vertical="center"/>
    </xf>
    <xf numFmtId="3" fontId="30" fillId="16" borderId="49" xfId="2" applyNumberFormat="1" applyFont="1" applyFill="1" applyBorder="1" applyAlignment="1">
      <alignment horizontal="center" vertical="center"/>
    </xf>
    <xf numFmtId="0" fontId="25" fillId="17" borderId="50" xfId="2" applyFont="1" applyFill="1" applyBorder="1" applyAlignment="1" applyProtection="1">
      <alignment horizontal="center" vertical="center"/>
      <protection locked="0"/>
    </xf>
    <xf numFmtId="0" fontId="25" fillId="17" borderId="51" xfId="2" applyFont="1" applyFill="1" applyBorder="1" applyAlignment="1" applyProtection="1">
      <alignment horizontal="center" vertical="center"/>
      <protection locked="0"/>
    </xf>
    <xf numFmtId="0" fontId="25" fillId="17" borderId="52" xfId="2" applyFont="1" applyFill="1" applyBorder="1" applyAlignment="1" applyProtection="1">
      <alignment horizontal="center" vertical="center"/>
      <protection locked="0"/>
    </xf>
    <xf numFmtId="0" fontId="25" fillId="17" borderId="50" xfId="2" applyFill="1" applyBorder="1" applyAlignment="1" applyProtection="1">
      <alignment horizontal="center"/>
      <protection locked="0"/>
    </xf>
    <xf numFmtId="0" fontId="25" fillId="17" borderId="52" xfId="2" applyFill="1" applyBorder="1" applyAlignment="1" applyProtection="1">
      <alignment horizontal="center"/>
      <protection locked="0"/>
    </xf>
    <xf numFmtId="0" fontId="28" fillId="0" borderId="19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/>
    </xf>
    <xf numFmtId="0" fontId="25" fillId="0" borderId="0" xfId="2" applyFill="1" applyBorder="1" applyAlignment="1">
      <alignment horizontal="center" vertical="center"/>
    </xf>
    <xf numFmtId="0" fontId="25" fillId="0" borderId="0" xfId="2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28" fillId="17" borderId="19" xfId="2" applyFont="1" applyFill="1" applyBorder="1" applyAlignment="1" applyProtection="1">
      <alignment horizontal="center" vertical="center" wrapText="1"/>
      <protection locked="0"/>
    </xf>
    <xf numFmtId="0" fontId="28" fillId="17" borderId="39" xfId="2" applyFont="1" applyFill="1" applyBorder="1" applyAlignment="1" applyProtection="1">
      <alignment horizontal="center" vertical="center" wrapText="1"/>
      <protection locked="0"/>
    </xf>
    <xf numFmtId="0" fontId="28" fillId="17" borderId="6" xfId="2" applyFont="1" applyFill="1" applyBorder="1" applyAlignment="1" applyProtection="1">
      <alignment horizontal="center" vertical="center" wrapText="1"/>
      <protection locked="0"/>
    </xf>
    <xf numFmtId="0" fontId="28" fillId="17" borderId="36" xfId="2" applyFont="1" applyFill="1" applyBorder="1" applyAlignment="1" applyProtection="1">
      <alignment horizontal="center" vertical="center" wrapText="1"/>
      <protection locked="0"/>
    </xf>
    <xf numFmtId="0" fontId="25" fillId="0" borderId="21" xfId="2" applyFill="1" applyBorder="1" applyAlignment="1">
      <alignment horizontal="center" vertical="center"/>
    </xf>
    <xf numFmtId="0" fontId="25" fillId="0" borderId="22" xfId="2" applyFill="1" applyBorder="1" applyAlignment="1">
      <alignment horizontal="center" vertical="center"/>
    </xf>
    <xf numFmtId="0" fontId="25" fillId="0" borderId="40" xfId="2" applyFill="1" applyBorder="1" applyAlignment="1">
      <alignment horizontal="center" vertical="center"/>
    </xf>
    <xf numFmtId="1" fontId="30" fillId="16" borderId="24" xfId="2" applyNumberFormat="1" applyFont="1" applyFill="1" applyBorder="1" applyAlignment="1">
      <alignment horizontal="center" vertical="center"/>
    </xf>
    <xf numFmtId="1" fontId="30" fillId="16" borderId="49" xfId="2" applyNumberFormat="1" applyFont="1" applyFill="1" applyBorder="1" applyAlignment="1">
      <alignment horizontal="center" vertical="center"/>
    </xf>
    <xf numFmtId="0" fontId="25" fillId="17" borderId="31" xfId="2" applyFill="1" applyBorder="1" applyAlignment="1" applyProtection="1">
      <alignment horizontal="center" vertical="center"/>
      <protection locked="0"/>
    </xf>
    <xf numFmtId="0" fontId="25" fillId="17" borderId="7" xfId="2" applyFill="1" applyBorder="1" applyAlignment="1" applyProtection="1">
      <alignment horizontal="center" vertical="center"/>
      <protection locked="0"/>
    </xf>
    <xf numFmtId="0" fontId="25" fillId="17" borderId="36" xfId="2" applyFill="1" applyBorder="1" applyAlignment="1" applyProtection="1">
      <alignment horizontal="center" vertical="center"/>
      <protection locked="0"/>
    </xf>
    <xf numFmtId="0" fontId="25" fillId="0" borderId="27" xfId="2" applyBorder="1" applyAlignment="1">
      <alignment horizontal="center" vertical="center"/>
    </xf>
    <xf numFmtId="0" fontId="25" fillId="0" borderId="28" xfId="2" applyBorder="1" applyAlignment="1">
      <alignment vertical="center"/>
    </xf>
    <xf numFmtId="0" fontId="25" fillId="0" borderId="29" xfId="2" applyBorder="1" applyAlignment="1">
      <alignment vertical="center"/>
    </xf>
    <xf numFmtId="3" fontId="30" fillId="16" borderId="44" xfId="2" applyNumberFormat="1" applyFont="1" applyFill="1" applyBorder="1" applyAlignment="1">
      <alignment horizontal="center" vertical="center"/>
    </xf>
    <xf numFmtId="0" fontId="25" fillId="17" borderId="41" xfId="2" applyFont="1" applyFill="1" applyBorder="1" applyAlignment="1" applyProtection="1">
      <alignment horizontal="center" vertical="center"/>
      <protection locked="0"/>
    </xf>
    <xf numFmtId="0" fontId="25" fillId="17" borderId="0" xfId="2" applyFont="1" applyFill="1" applyBorder="1" applyAlignment="1" applyProtection="1">
      <alignment horizontal="center" vertical="center"/>
      <protection locked="0"/>
    </xf>
    <xf numFmtId="0" fontId="25" fillId="0" borderId="37" xfId="2" applyBorder="1"/>
    <xf numFmtId="0" fontId="25" fillId="0" borderId="38" xfId="2" applyBorder="1"/>
    <xf numFmtId="0" fontId="25" fillId="0" borderId="20" xfId="2" applyBorder="1" applyAlignment="1">
      <alignment horizontal="center" vertical="center"/>
    </xf>
    <xf numFmtId="0" fontId="25" fillId="0" borderId="15" xfId="2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  <xf numFmtId="3" fontId="30" fillId="16" borderId="26" xfId="2" applyNumberFormat="1" applyFont="1" applyFill="1" applyBorder="1" applyAlignment="1">
      <alignment horizontal="center" vertical="center"/>
    </xf>
    <xf numFmtId="0" fontId="25" fillId="17" borderId="16" xfId="2" applyFont="1" applyFill="1" applyBorder="1" applyAlignment="1" applyProtection="1">
      <alignment horizontal="center" vertical="center"/>
      <protection locked="0"/>
    </xf>
    <xf numFmtId="0" fontId="25" fillId="17" borderId="17" xfId="2" applyFont="1" applyFill="1" applyBorder="1" applyAlignment="1" applyProtection="1">
      <alignment horizontal="center" vertical="center"/>
      <protection locked="0"/>
    </xf>
    <xf numFmtId="0" fontId="25" fillId="0" borderId="12" xfId="2" applyBorder="1" applyAlignment="1">
      <alignment horizontal="center" vertical="center"/>
    </xf>
    <xf numFmtId="0" fontId="25" fillId="0" borderId="31" xfId="2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49" fillId="25" borderId="0" xfId="0" applyFont="1" applyFill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41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54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51" fillId="27" borderId="0" xfId="0" applyFont="1" applyFill="1" applyAlignment="1" applyProtection="1">
      <alignment horizontal="left" vertical="top" wrapText="1"/>
    </xf>
    <xf numFmtId="3" fontId="30" fillId="8" borderId="124" xfId="2" applyNumberFormat="1" applyFont="1" applyFill="1" applyBorder="1" applyAlignment="1" applyProtection="1">
      <alignment horizontal="center" vertical="center"/>
      <protection hidden="1"/>
    </xf>
    <xf numFmtId="3" fontId="30" fillId="8" borderId="126" xfId="2" applyNumberFormat="1" applyFont="1" applyFill="1" applyBorder="1" applyAlignment="1" applyProtection="1">
      <alignment horizontal="center" vertical="center"/>
      <protection hidden="1"/>
    </xf>
    <xf numFmtId="0" fontId="28" fillId="20" borderId="123" xfId="2" applyFont="1" applyFill="1" applyBorder="1" applyAlignment="1" applyProtection="1">
      <alignment horizontal="center" vertical="center" wrapText="1"/>
      <protection hidden="1"/>
    </xf>
    <xf numFmtId="0" fontId="28" fillId="20" borderId="54" xfId="2" applyFont="1" applyFill="1" applyBorder="1" applyAlignment="1" applyProtection="1">
      <alignment horizontal="center" vertical="center" wrapText="1"/>
      <protection hidden="1"/>
    </xf>
    <xf numFmtId="0" fontId="28" fillId="20" borderId="125" xfId="2" applyFont="1" applyFill="1" applyBorder="1" applyAlignment="1" applyProtection="1">
      <alignment horizontal="center" vertical="center" wrapText="1"/>
      <protection hidden="1"/>
    </xf>
    <xf numFmtId="0" fontId="28" fillId="20" borderId="110" xfId="2" applyFont="1" applyFill="1" applyBorder="1" applyAlignment="1" applyProtection="1">
      <alignment horizontal="center" vertical="center" wrapText="1"/>
      <protection hidden="1"/>
    </xf>
    <xf numFmtId="0" fontId="25" fillId="20" borderId="56" xfId="2" applyFill="1" applyBorder="1" applyAlignment="1" applyProtection="1">
      <alignment horizontal="center" vertical="center"/>
      <protection hidden="1"/>
    </xf>
    <xf numFmtId="0" fontId="25" fillId="20" borderId="57" xfId="2" applyFill="1" applyBorder="1" applyAlignment="1" applyProtection="1">
      <alignment horizontal="center" vertical="center"/>
      <protection hidden="1"/>
    </xf>
    <xf numFmtId="0" fontId="25" fillId="20" borderId="91" xfId="2" applyFill="1" applyBorder="1" applyAlignment="1" applyProtection="1">
      <alignment horizontal="center" vertical="center"/>
      <protection hidden="1"/>
    </xf>
    <xf numFmtId="1" fontId="30" fillId="8" borderId="124" xfId="2" applyNumberFormat="1" applyFont="1" applyFill="1" applyBorder="1" applyAlignment="1" applyProtection="1">
      <alignment horizontal="center" vertical="center"/>
      <protection hidden="1"/>
    </xf>
    <xf numFmtId="1" fontId="30" fillId="8" borderId="126" xfId="2" applyNumberFormat="1" applyFont="1" applyFill="1" applyBorder="1" applyAlignment="1" applyProtection="1">
      <alignment horizontal="center" vertical="center"/>
      <protection hidden="1"/>
    </xf>
    <xf numFmtId="0" fontId="25" fillId="21" borderId="114" xfId="2" applyFill="1" applyBorder="1" applyAlignment="1" applyProtection="1">
      <alignment horizontal="center" vertical="center"/>
      <protection locked="0"/>
    </xf>
    <xf numFmtId="0" fontId="25" fillId="21" borderId="105" xfId="2" applyFill="1" applyBorder="1" applyAlignment="1" applyProtection="1">
      <alignment horizontal="center" vertical="center"/>
      <protection locked="0"/>
    </xf>
    <xf numFmtId="0" fontId="25" fillId="21" borderId="110" xfId="2" applyFill="1" applyBorder="1" applyAlignment="1" applyProtection="1">
      <alignment horizontal="center" vertical="center"/>
      <protection locked="0"/>
    </xf>
    <xf numFmtId="0" fontId="28" fillId="19" borderId="123" xfId="2" applyFont="1" applyFill="1" applyBorder="1" applyAlignment="1" applyProtection="1">
      <alignment horizontal="center" vertical="center" wrapText="1"/>
      <protection hidden="1"/>
    </xf>
    <xf numFmtId="0" fontId="28" fillId="19" borderId="54" xfId="2" applyFont="1" applyFill="1" applyBorder="1" applyAlignment="1" applyProtection="1">
      <alignment horizontal="center" vertical="center" wrapText="1"/>
      <protection hidden="1"/>
    </xf>
    <xf numFmtId="0" fontId="28" fillId="19" borderId="121" xfId="2" applyFont="1" applyFill="1" applyBorder="1" applyAlignment="1" applyProtection="1">
      <alignment horizontal="center" vertical="center" wrapText="1"/>
      <protection hidden="1"/>
    </xf>
    <xf numFmtId="0" fontId="28" fillId="19" borderId="68" xfId="2" applyFont="1" applyFill="1" applyBorder="1" applyAlignment="1" applyProtection="1">
      <alignment horizontal="center" vertical="center" wrapText="1"/>
      <protection hidden="1"/>
    </xf>
    <xf numFmtId="0" fontId="25" fillId="19" borderId="56" xfId="2" applyFill="1" applyBorder="1" applyAlignment="1" applyProtection="1">
      <alignment horizontal="center" vertical="center"/>
      <protection hidden="1"/>
    </xf>
    <xf numFmtId="0" fontId="25" fillId="19" borderId="57" xfId="2" applyFill="1" applyBorder="1" applyAlignment="1" applyProtection="1">
      <alignment horizontal="center" vertical="center"/>
      <protection hidden="1"/>
    </xf>
    <xf numFmtId="0" fontId="25" fillId="19" borderId="91" xfId="2" applyFill="1" applyBorder="1" applyAlignment="1" applyProtection="1">
      <alignment horizontal="center" vertical="center"/>
      <protection hidden="1"/>
    </xf>
    <xf numFmtId="1" fontId="30" fillId="18" borderId="124" xfId="2" applyNumberFormat="1" applyFont="1" applyFill="1" applyBorder="1" applyAlignment="1" applyProtection="1">
      <alignment horizontal="center" vertical="center"/>
      <protection hidden="1"/>
    </xf>
    <xf numFmtId="1" fontId="30" fillId="18" borderId="122" xfId="2" applyNumberFormat="1" applyFont="1" applyFill="1" applyBorder="1" applyAlignment="1" applyProtection="1">
      <alignment horizontal="center" vertical="center"/>
      <protection hidden="1"/>
    </xf>
    <xf numFmtId="0" fontId="25" fillId="21" borderId="63" xfId="2" applyFill="1" applyBorder="1" applyAlignment="1" applyProtection="1">
      <alignment horizontal="center" vertical="center"/>
      <protection locked="0"/>
    </xf>
    <xf numFmtId="0" fontId="25" fillId="21" borderId="70" xfId="2" applyFill="1" applyBorder="1" applyAlignment="1" applyProtection="1">
      <alignment horizontal="center" vertical="center"/>
      <protection locked="0"/>
    </xf>
    <xf numFmtId="0" fontId="25" fillId="21" borderId="68" xfId="2" applyFill="1" applyBorder="1" applyAlignment="1" applyProtection="1">
      <alignment horizontal="center" vertical="center"/>
      <protection locked="0"/>
    </xf>
    <xf numFmtId="0" fontId="25" fillId="20" borderId="59" xfId="2" applyFill="1" applyBorder="1" applyAlignment="1" applyProtection="1">
      <alignment horizontal="center" vertical="center"/>
      <protection hidden="1"/>
    </xf>
    <xf numFmtId="0" fontId="25" fillId="20" borderId="60" xfId="2" applyFill="1" applyBorder="1" applyAlignment="1" applyProtection="1">
      <alignment horizontal="center" vertical="center"/>
      <protection hidden="1"/>
    </xf>
    <xf numFmtId="0" fontId="25" fillId="20" borderId="61" xfId="2" applyFill="1" applyBorder="1" applyAlignment="1" applyProtection="1">
      <alignment horizontal="center" vertical="center"/>
      <protection hidden="1"/>
    </xf>
    <xf numFmtId="0" fontId="25" fillId="21" borderId="107" xfId="2" applyFill="1" applyBorder="1" applyAlignment="1" applyProtection="1">
      <alignment horizontal="center" vertical="center"/>
      <protection locked="0"/>
    </xf>
    <xf numFmtId="0" fontId="25" fillId="21" borderId="109" xfId="2" applyFill="1" applyBorder="1" applyAlignment="1" applyProtection="1">
      <alignment horizontal="center" vertical="center"/>
      <protection locked="0"/>
    </xf>
    <xf numFmtId="0" fontId="28" fillId="20" borderId="0" xfId="2" applyFont="1" applyFill="1" applyBorder="1" applyAlignment="1" applyProtection="1">
      <alignment horizontal="center" vertical="center" wrapText="1"/>
      <protection hidden="1"/>
    </xf>
    <xf numFmtId="0" fontId="28" fillId="20" borderId="105" xfId="2" applyFont="1" applyFill="1" applyBorder="1" applyAlignment="1" applyProtection="1">
      <alignment horizontal="center" vertical="center" wrapText="1"/>
      <protection hidden="1"/>
    </xf>
    <xf numFmtId="0" fontId="25" fillId="20" borderId="99" xfId="2" applyFill="1" applyBorder="1" applyAlignment="1" applyProtection="1">
      <alignment horizontal="center" vertical="center"/>
      <protection hidden="1"/>
    </xf>
    <xf numFmtId="0" fontId="25" fillId="20" borderId="100" xfId="2" applyFill="1" applyBorder="1" applyAlignment="1" applyProtection="1">
      <alignment vertical="center"/>
      <protection hidden="1"/>
    </xf>
    <xf numFmtId="0" fontId="25" fillId="20" borderId="101" xfId="2" applyFill="1" applyBorder="1" applyAlignment="1" applyProtection="1">
      <alignment vertical="center"/>
      <protection hidden="1"/>
    </xf>
    <xf numFmtId="0" fontId="37" fillId="0" borderId="80" xfId="2" applyFont="1" applyBorder="1" applyAlignment="1" applyProtection="1">
      <alignment horizontal="center" vertical="center"/>
      <protection hidden="1"/>
    </xf>
    <xf numFmtId="0" fontId="37" fillId="0" borderId="86" xfId="2" applyFont="1" applyBorder="1" applyAlignment="1" applyProtection="1">
      <alignment horizontal="center" vertical="center"/>
      <protection hidden="1"/>
    </xf>
    <xf numFmtId="0" fontId="25" fillId="21" borderId="74" xfId="2" applyFont="1" applyFill="1" applyBorder="1" applyAlignment="1" applyProtection="1">
      <alignment horizontal="center" vertical="center"/>
      <protection locked="0"/>
    </xf>
    <xf numFmtId="0" fontId="25" fillId="21" borderId="72" xfId="2" applyFont="1" applyFill="1" applyBorder="1" applyAlignment="1" applyProtection="1">
      <alignment horizontal="center" vertical="center"/>
      <protection locked="0"/>
    </xf>
    <xf numFmtId="0" fontId="25" fillId="20" borderId="54" xfId="2" applyFill="1" applyBorder="1" applyAlignment="1" applyProtection="1">
      <alignment horizontal="center" vertical="center" wrapText="1"/>
      <protection hidden="1"/>
    </xf>
    <xf numFmtId="0" fontId="28" fillId="19" borderId="115" xfId="2" applyFont="1" applyFill="1" applyBorder="1" applyAlignment="1" applyProtection="1">
      <alignment horizontal="center" vertical="center"/>
      <protection hidden="1"/>
    </xf>
    <xf numFmtId="0" fontId="28" fillId="19" borderId="116" xfId="2" applyFont="1" applyFill="1" applyBorder="1" applyAlignment="1" applyProtection="1">
      <alignment horizontal="center" vertical="center"/>
      <protection hidden="1"/>
    </xf>
    <xf numFmtId="0" fontId="28" fillId="19" borderId="121" xfId="2" applyFont="1" applyFill="1" applyBorder="1" applyAlignment="1" applyProtection="1">
      <alignment horizontal="center" vertical="center"/>
      <protection hidden="1"/>
    </xf>
    <xf numFmtId="0" fontId="28" fillId="19" borderId="68" xfId="2" applyFont="1" applyFill="1" applyBorder="1" applyAlignment="1" applyProtection="1">
      <alignment horizontal="center" vertical="center"/>
      <protection hidden="1"/>
    </xf>
    <xf numFmtId="3" fontId="30" fillId="18" borderId="124" xfId="2" applyNumberFormat="1" applyFont="1" applyFill="1" applyBorder="1" applyAlignment="1" applyProtection="1">
      <alignment horizontal="center" vertical="center"/>
      <protection hidden="1"/>
    </xf>
    <xf numFmtId="3" fontId="30" fillId="18" borderId="122" xfId="2" applyNumberFormat="1" applyFont="1" applyFill="1" applyBorder="1" applyAlignment="1" applyProtection="1">
      <alignment horizontal="center" vertical="center"/>
      <protection hidden="1"/>
    </xf>
    <xf numFmtId="3" fontId="30" fillId="18" borderId="85" xfId="2" applyNumberFormat="1" applyFont="1" applyFill="1" applyBorder="1" applyAlignment="1" applyProtection="1">
      <alignment horizontal="center" vertical="center"/>
      <protection hidden="1"/>
    </xf>
    <xf numFmtId="3" fontId="30" fillId="18" borderId="87" xfId="2" applyNumberFormat="1" applyFont="1" applyFill="1" applyBorder="1" applyAlignment="1" applyProtection="1">
      <alignment horizontal="center" vertical="center"/>
      <protection hidden="1"/>
    </xf>
    <xf numFmtId="0" fontId="25" fillId="21" borderId="63" xfId="2" applyFont="1" applyFill="1" applyBorder="1" applyAlignment="1" applyProtection="1">
      <alignment horizontal="center" vertical="center"/>
      <protection locked="0"/>
    </xf>
    <xf numFmtId="0" fontId="25" fillId="21" borderId="70" xfId="2" applyFont="1" applyFill="1" applyBorder="1" applyAlignment="1" applyProtection="1">
      <alignment horizontal="center" vertical="center"/>
      <protection locked="0"/>
    </xf>
    <xf numFmtId="0" fontId="25" fillId="21" borderId="97" xfId="2" applyFill="1" applyBorder="1" applyAlignment="1" applyProtection="1">
      <alignment horizontal="center" vertical="center"/>
      <protection locked="0"/>
    </xf>
    <xf numFmtId="0" fontId="25" fillId="21" borderId="98" xfId="2" applyFill="1" applyBorder="1" applyAlignment="1" applyProtection="1">
      <alignment horizontal="center" vertical="center"/>
      <protection locked="0"/>
    </xf>
    <xf numFmtId="0" fontId="25" fillId="20" borderId="57" xfId="2" applyFont="1" applyFill="1" applyBorder="1" applyAlignment="1" applyProtection="1">
      <alignment horizontal="center" vertical="center"/>
      <protection hidden="1"/>
    </xf>
    <xf numFmtId="0" fontId="25" fillId="20" borderId="71" xfId="2" applyFill="1" applyBorder="1" applyAlignment="1" applyProtection="1">
      <alignment horizontal="center" vertical="center" wrapText="1"/>
      <protection hidden="1"/>
    </xf>
    <xf numFmtId="0" fontId="25" fillId="20" borderId="75" xfId="2" applyFill="1" applyBorder="1" applyAlignment="1" applyProtection="1">
      <alignment horizontal="center" vertical="center"/>
      <protection hidden="1"/>
    </xf>
    <xf numFmtId="0" fontId="25" fillId="19" borderId="81" xfId="2" applyFill="1" applyBorder="1" applyAlignment="1" applyProtection="1">
      <alignment horizontal="center" vertical="center" wrapText="1"/>
      <protection hidden="1"/>
    </xf>
    <xf numFmtId="0" fontId="25" fillId="19" borderId="68" xfId="2" applyFill="1" applyBorder="1" applyAlignment="1" applyProtection="1">
      <alignment horizontal="center" vertical="center"/>
      <protection hidden="1"/>
    </xf>
    <xf numFmtId="0" fontId="25" fillId="19" borderId="82" xfId="2" applyFill="1" applyBorder="1" applyAlignment="1">
      <alignment horizontal="center" vertical="center"/>
    </xf>
    <xf numFmtId="0" fontId="25" fillId="19" borderId="83" xfId="2" applyFont="1" applyFill="1" applyBorder="1" applyAlignment="1">
      <alignment horizontal="center" vertical="center"/>
    </xf>
    <xf numFmtId="0" fontId="25" fillId="20" borderId="75" xfId="2" applyFill="1" applyBorder="1" applyAlignment="1" applyProtection="1">
      <alignment horizontal="center" vertical="center" wrapText="1"/>
      <protection hidden="1"/>
    </xf>
    <xf numFmtId="0" fontId="28" fillId="20" borderId="123" xfId="2" applyFont="1" applyFill="1" applyBorder="1" applyAlignment="1" applyProtection="1">
      <alignment horizontal="center" vertical="center"/>
      <protection hidden="1"/>
    </xf>
    <xf numFmtId="0" fontId="28" fillId="20" borderId="54" xfId="2" applyFont="1" applyFill="1" applyBorder="1" applyAlignment="1" applyProtection="1">
      <alignment horizontal="center" vertical="center"/>
      <protection hidden="1"/>
    </xf>
    <xf numFmtId="0" fontId="28" fillId="20" borderId="125" xfId="2" applyFont="1" applyFill="1" applyBorder="1" applyAlignment="1" applyProtection="1">
      <alignment horizontal="center" vertical="center"/>
      <protection hidden="1"/>
    </xf>
    <xf numFmtId="0" fontId="28" fillId="20" borderId="110" xfId="2" applyFont="1" applyFill="1" applyBorder="1" applyAlignment="1" applyProtection="1">
      <alignment horizontal="center" vertical="center"/>
      <protection hidden="1"/>
    </xf>
    <xf numFmtId="0" fontId="25" fillId="19" borderId="187" xfId="2" applyFill="1" applyBorder="1" applyAlignment="1" applyProtection="1">
      <alignment horizontal="center" vertical="center"/>
      <protection hidden="1"/>
    </xf>
    <xf numFmtId="0" fontId="25" fillId="19" borderId="188" xfId="2" applyFill="1" applyBorder="1" applyAlignment="1" applyProtection="1">
      <alignment vertical="center"/>
      <protection hidden="1"/>
    </xf>
    <xf numFmtId="0" fontId="25" fillId="19" borderId="190" xfId="2" applyFill="1" applyBorder="1" applyAlignment="1" applyProtection="1">
      <alignment vertical="center"/>
      <protection hidden="1"/>
    </xf>
    <xf numFmtId="3" fontId="30" fillId="8" borderId="88" xfId="2" applyNumberFormat="1" applyFont="1" applyFill="1" applyBorder="1" applyAlignment="1" applyProtection="1">
      <alignment horizontal="center" vertical="center"/>
      <protection hidden="1"/>
    </xf>
    <xf numFmtId="3" fontId="30" fillId="8" borderId="89" xfId="2" applyNumberFormat="1" applyFont="1" applyFill="1" applyBorder="1" applyAlignment="1" applyProtection="1">
      <alignment horizontal="center" vertical="center"/>
      <protection hidden="1"/>
    </xf>
    <xf numFmtId="0" fontId="28" fillId="19" borderId="0" xfId="2" applyFont="1" applyFill="1" applyBorder="1" applyAlignment="1" applyProtection="1">
      <alignment horizontal="center" vertical="center" wrapText="1"/>
      <protection hidden="1"/>
    </xf>
    <xf numFmtId="0" fontId="28" fillId="19" borderId="70" xfId="2" applyFont="1" applyFill="1" applyBorder="1" applyAlignment="1" applyProtection="1">
      <alignment horizontal="center" vertical="center" wrapText="1"/>
      <protection hidden="1"/>
    </xf>
    <xf numFmtId="0" fontId="25" fillId="19" borderId="99" xfId="2" applyFill="1" applyBorder="1" applyAlignment="1" applyProtection="1">
      <alignment horizontal="center" vertical="center"/>
      <protection hidden="1"/>
    </xf>
    <xf numFmtId="0" fontId="25" fillId="19" borderId="100" xfId="2" applyFill="1" applyBorder="1" applyAlignment="1" applyProtection="1">
      <alignment vertical="center"/>
      <protection hidden="1"/>
    </xf>
    <xf numFmtId="0" fontId="25" fillId="19" borderId="101" xfId="2" applyFill="1" applyBorder="1" applyAlignment="1" applyProtection="1">
      <alignment vertical="center"/>
      <protection hidden="1"/>
    </xf>
    <xf numFmtId="0" fontId="25" fillId="19" borderId="59" xfId="2" applyFill="1" applyBorder="1" applyAlignment="1" applyProtection="1">
      <alignment horizontal="center" vertical="center"/>
      <protection hidden="1"/>
    </xf>
    <xf numFmtId="0" fontId="25" fillId="19" borderId="60" xfId="2" applyFill="1" applyBorder="1" applyAlignment="1" applyProtection="1">
      <alignment horizontal="center" vertical="center"/>
      <protection hidden="1"/>
    </xf>
    <xf numFmtId="0" fontId="25" fillId="19" borderId="61" xfId="2" applyFill="1" applyBorder="1" applyAlignment="1" applyProtection="1">
      <alignment horizontal="center" vertical="center"/>
      <protection hidden="1"/>
    </xf>
    <xf numFmtId="0" fontId="37" fillId="0" borderId="90" xfId="2" applyFont="1" applyBorder="1" applyAlignment="1" applyProtection="1">
      <alignment horizontal="center" vertical="center"/>
      <protection hidden="1"/>
    </xf>
    <xf numFmtId="0" fontId="25" fillId="19" borderId="54" xfId="2" applyFill="1" applyBorder="1" applyAlignment="1" applyProtection="1">
      <alignment horizontal="center" vertical="center"/>
      <protection hidden="1"/>
    </xf>
    <xf numFmtId="3" fontId="30" fillId="18" borderId="88" xfId="2" applyNumberFormat="1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25" fillId="19" borderId="59" xfId="2" applyFill="1" applyBorder="1" applyAlignment="1">
      <alignment horizontal="center" vertical="center"/>
    </xf>
    <xf numFmtId="0" fontId="25" fillId="19" borderId="60" xfId="2" applyFill="1" applyBorder="1" applyAlignment="1">
      <alignment horizontal="center" vertical="center"/>
    </xf>
    <xf numFmtId="0" fontId="25" fillId="19" borderId="61" xfId="2" applyFill="1" applyBorder="1" applyAlignment="1">
      <alignment horizontal="center" vertical="center"/>
    </xf>
    <xf numFmtId="0" fontId="25" fillId="19" borderId="82" xfId="2" applyFill="1" applyBorder="1" applyAlignment="1" applyProtection="1">
      <alignment horizontal="center" vertical="center"/>
      <protection hidden="1"/>
    </xf>
    <xf numFmtId="0" fontId="25" fillId="19" borderId="83" xfId="2" applyFont="1" applyFill="1" applyBorder="1" applyAlignment="1" applyProtection="1">
      <alignment horizontal="center" vertical="center"/>
      <protection hidden="1"/>
    </xf>
    <xf numFmtId="0" fontId="25" fillId="21" borderId="194" xfId="2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/>
      <protection hidden="1"/>
    </xf>
    <xf numFmtId="0" fontId="28" fillId="7" borderId="141" xfId="2" applyFont="1" applyFill="1" applyBorder="1" applyAlignment="1" applyProtection="1">
      <alignment horizontal="center" vertical="center"/>
      <protection hidden="1"/>
    </xf>
    <xf numFmtId="0" fontId="28" fillId="7" borderId="142" xfId="2" applyFont="1" applyFill="1" applyBorder="1" applyAlignment="1" applyProtection="1">
      <alignment horizontal="center" vertical="center"/>
      <protection hidden="1"/>
    </xf>
    <xf numFmtId="0" fontId="28" fillId="7" borderId="148" xfId="2" applyFont="1" applyFill="1" applyBorder="1" applyAlignment="1" applyProtection="1">
      <alignment horizontal="center" vertical="center"/>
      <protection hidden="1"/>
    </xf>
    <xf numFmtId="0" fontId="44" fillId="0" borderId="0" xfId="2" applyFont="1" applyFill="1" applyBorder="1" applyAlignment="1">
      <alignment horizontal="center" vertical="center"/>
    </xf>
    <xf numFmtId="0" fontId="46" fillId="0" borderId="0" xfId="2" applyFont="1" applyFill="1" applyBorder="1" applyAlignment="1">
      <alignment horizontal="center" vertical="center"/>
    </xf>
    <xf numFmtId="0" fontId="25" fillId="21" borderId="94" xfId="2" applyFont="1" applyFill="1" applyBorder="1" applyAlignment="1" applyProtection="1">
      <alignment horizontal="center" vertical="center"/>
      <protection locked="0"/>
    </xf>
    <xf numFmtId="0" fontId="25" fillId="21" borderId="95" xfId="2" applyFont="1" applyFill="1" applyBorder="1" applyAlignment="1" applyProtection="1">
      <alignment horizontal="center" vertical="center"/>
      <protection locked="0"/>
    </xf>
    <xf numFmtId="0" fontId="25" fillId="21" borderId="96" xfId="2" applyFont="1" applyFill="1" applyBorder="1" applyAlignment="1" applyProtection="1">
      <alignment horizontal="center" vertical="center"/>
      <protection locked="0"/>
    </xf>
    <xf numFmtId="0" fontId="28" fillId="20" borderId="136" xfId="2" applyFont="1" applyFill="1" applyBorder="1" applyAlignment="1" applyProtection="1">
      <alignment horizontal="center" vertical="center"/>
      <protection hidden="1"/>
    </xf>
    <xf numFmtId="0" fontId="28" fillId="20" borderId="130" xfId="2" applyFont="1" applyFill="1" applyBorder="1" applyAlignment="1" applyProtection="1">
      <alignment horizontal="center" vertical="center"/>
      <protection hidden="1"/>
    </xf>
    <xf numFmtId="0" fontId="25" fillId="20" borderId="131" xfId="2" applyFill="1" applyBorder="1" applyAlignment="1" applyProtection="1">
      <alignment horizontal="center" vertical="center"/>
      <protection hidden="1"/>
    </xf>
    <xf numFmtId="0" fontId="25" fillId="20" borderId="132" xfId="2" applyFill="1" applyBorder="1" applyAlignment="1" applyProtection="1">
      <alignment horizontal="center" vertical="center"/>
      <protection hidden="1"/>
    </xf>
    <xf numFmtId="0" fontId="25" fillId="20" borderId="133" xfId="2" applyFill="1" applyBorder="1" applyAlignment="1" applyProtection="1">
      <alignment horizontal="center" vertical="center"/>
      <protection hidden="1"/>
    </xf>
    <xf numFmtId="0" fontId="25" fillId="20" borderId="131" xfId="2" applyFill="1" applyBorder="1" applyAlignment="1" applyProtection="1">
      <alignment horizontal="center"/>
      <protection hidden="1"/>
    </xf>
    <xf numFmtId="0" fontId="25" fillId="20" borderId="133" xfId="2" applyFill="1" applyBorder="1" applyAlignment="1" applyProtection="1">
      <alignment horizontal="center"/>
      <protection hidden="1"/>
    </xf>
    <xf numFmtId="3" fontId="30" fillId="8" borderId="137" xfId="2" applyNumberFormat="1" applyFont="1" applyFill="1" applyBorder="1" applyAlignment="1" applyProtection="1">
      <alignment horizontal="center" vertical="center"/>
      <protection hidden="1"/>
    </xf>
    <xf numFmtId="0" fontId="25" fillId="20" borderId="56" xfId="2" applyFill="1" applyBorder="1" applyAlignment="1" applyProtection="1">
      <alignment horizontal="center"/>
      <protection hidden="1"/>
    </xf>
    <xf numFmtId="0" fontId="25" fillId="20" borderId="91" xfId="2" applyFill="1" applyBorder="1" applyAlignment="1" applyProtection="1">
      <alignment horizontal="center"/>
      <protection hidden="1"/>
    </xf>
    <xf numFmtId="0" fontId="25" fillId="21" borderId="107" xfId="2" applyFont="1" applyFill="1" applyBorder="1" applyAlignment="1" applyProtection="1">
      <alignment horizontal="center" vertical="center"/>
      <protection locked="0"/>
    </xf>
    <xf numFmtId="0" fontId="25" fillId="21" borderId="108" xfId="2" applyFont="1" applyFill="1" applyBorder="1" applyAlignment="1" applyProtection="1">
      <alignment horizontal="center" vertical="center"/>
      <protection locked="0"/>
    </xf>
    <xf numFmtId="0" fontId="25" fillId="21" borderId="109" xfId="2" applyFont="1" applyFill="1" applyBorder="1" applyAlignment="1" applyProtection="1">
      <alignment horizontal="center" vertical="center"/>
      <protection locked="0"/>
    </xf>
    <xf numFmtId="0" fontId="25" fillId="21" borderId="107" xfId="2" applyFill="1" applyBorder="1" applyAlignment="1" applyProtection="1">
      <alignment horizontal="center"/>
      <protection locked="0"/>
    </xf>
    <xf numFmtId="0" fontId="25" fillId="21" borderId="109" xfId="2" applyFill="1" applyBorder="1" applyAlignment="1" applyProtection="1">
      <alignment horizontal="center"/>
      <protection locked="0"/>
    </xf>
    <xf numFmtId="0" fontId="25" fillId="21" borderId="94" xfId="2" applyFill="1" applyBorder="1" applyAlignment="1" applyProtection="1">
      <alignment horizontal="center"/>
      <protection locked="0"/>
    </xf>
    <xf numFmtId="0" fontId="25" fillId="21" borderId="96" xfId="2" applyFill="1" applyBorder="1" applyAlignment="1" applyProtection="1">
      <alignment horizontal="center"/>
      <protection locked="0"/>
    </xf>
    <xf numFmtId="0" fontId="28" fillId="19" borderId="115" xfId="2" applyFont="1" applyFill="1" applyBorder="1" applyAlignment="1" applyProtection="1">
      <alignment horizontal="center" vertical="center" wrapText="1"/>
      <protection hidden="1"/>
    </xf>
    <xf numFmtId="0" fontId="28" fillId="19" borderId="138" xfId="2" applyFont="1" applyFill="1" applyBorder="1" applyAlignment="1" applyProtection="1">
      <alignment horizontal="center" vertical="center" wrapText="1"/>
      <protection hidden="1"/>
    </xf>
    <xf numFmtId="0" fontId="28" fillId="19" borderId="134" xfId="2" applyFont="1" applyFill="1" applyBorder="1" applyAlignment="1" applyProtection="1">
      <alignment horizontal="center" vertical="center" wrapText="1"/>
      <protection hidden="1"/>
    </xf>
    <xf numFmtId="0" fontId="28" fillId="19" borderId="58" xfId="2" applyFont="1" applyFill="1" applyBorder="1" applyAlignment="1" applyProtection="1">
      <alignment horizontal="center" vertical="center" wrapText="1"/>
      <protection hidden="1"/>
    </xf>
    <xf numFmtId="0" fontId="25" fillId="19" borderId="117" xfId="2" applyFill="1" applyBorder="1" applyAlignment="1" applyProtection="1">
      <alignment horizontal="center" vertical="center"/>
      <protection hidden="1"/>
    </xf>
    <xf numFmtId="0" fontId="25" fillId="19" borderId="118" xfId="2" applyFill="1" applyBorder="1" applyAlignment="1" applyProtection="1">
      <alignment horizontal="center" vertical="center"/>
      <protection hidden="1"/>
    </xf>
    <xf numFmtId="0" fontId="25" fillId="19" borderId="119" xfId="2" applyFill="1" applyBorder="1" applyAlignment="1" applyProtection="1">
      <alignment horizontal="center" vertical="center"/>
      <protection hidden="1"/>
    </xf>
    <xf numFmtId="0" fontId="25" fillId="19" borderId="117" xfId="2" applyFill="1" applyBorder="1" applyAlignment="1" applyProtection="1">
      <alignment horizontal="center"/>
      <protection hidden="1"/>
    </xf>
    <xf numFmtId="0" fontId="25" fillId="19" borderId="119" xfId="2" applyFill="1" applyBorder="1" applyAlignment="1" applyProtection="1">
      <alignment horizontal="center"/>
      <protection hidden="1"/>
    </xf>
    <xf numFmtId="3" fontId="30" fillId="18" borderId="120" xfId="2" applyNumberFormat="1" applyFont="1" applyFill="1" applyBorder="1" applyAlignment="1" applyProtection="1">
      <alignment horizontal="center" vertical="center"/>
      <protection hidden="1"/>
    </xf>
    <xf numFmtId="3" fontId="30" fillId="18" borderId="135" xfId="2" applyNumberFormat="1" applyFont="1" applyFill="1" applyBorder="1" applyAlignment="1" applyProtection="1">
      <alignment horizontal="center" vertical="center"/>
      <protection hidden="1"/>
    </xf>
    <xf numFmtId="0" fontId="25" fillId="21" borderId="127" xfId="2" applyFont="1" applyFill="1" applyBorder="1" applyAlignment="1" applyProtection="1">
      <alignment horizontal="center" vertical="center"/>
      <protection locked="0"/>
    </xf>
    <xf numFmtId="0" fontId="25" fillId="21" borderId="128" xfId="2" applyFont="1" applyFill="1" applyBorder="1" applyAlignment="1" applyProtection="1">
      <alignment horizontal="center" vertical="center"/>
      <protection locked="0"/>
    </xf>
    <xf numFmtId="0" fontId="25" fillId="21" borderId="129" xfId="2" applyFont="1" applyFill="1" applyBorder="1" applyAlignment="1" applyProtection="1">
      <alignment horizontal="center" vertical="center"/>
      <protection locked="0"/>
    </xf>
    <xf numFmtId="0" fontId="25" fillId="21" borderId="127" xfId="2" applyFill="1" applyBorder="1" applyAlignment="1" applyProtection="1">
      <alignment horizontal="center"/>
      <protection locked="0"/>
    </xf>
    <xf numFmtId="0" fontId="25" fillId="21" borderId="129" xfId="2" applyFill="1" applyBorder="1" applyAlignment="1" applyProtection="1">
      <alignment horizontal="center"/>
      <protection locked="0"/>
    </xf>
    <xf numFmtId="0" fontId="28" fillId="19" borderId="134" xfId="2" applyFont="1" applyFill="1" applyBorder="1" applyAlignment="1" applyProtection="1">
      <alignment horizontal="center" vertical="center"/>
      <protection hidden="1"/>
    </xf>
    <xf numFmtId="0" fontId="28" fillId="19" borderId="62" xfId="2" applyFont="1" applyFill="1" applyBorder="1" applyAlignment="1" applyProtection="1">
      <alignment horizontal="center" vertical="center"/>
      <protection hidden="1"/>
    </xf>
    <xf numFmtId="0" fontId="28" fillId="19" borderId="123" xfId="2" applyFont="1" applyFill="1" applyBorder="1" applyAlignment="1" applyProtection="1">
      <alignment horizontal="center" vertical="center"/>
      <protection hidden="1"/>
    </xf>
    <xf numFmtId="0" fontId="28" fillId="19" borderId="54" xfId="2" applyFont="1" applyFill="1" applyBorder="1" applyAlignment="1" applyProtection="1">
      <alignment horizontal="center" vertical="center"/>
      <protection hidden="1"/>
    </xf>
    <xf numFmtId="0" fontId="25" fillId="19" borderId="56" xfId="2" applyFill="1" applyBorder="1" applyAlignment="1" applyProtection="1">
      <alignment horizontal="center"/>
      <protection hidden="1"/>
    </xf>
    <xf numFmtId="0" fontId="25" fillId="19" borderId="91" xfId="2" applyFill="1" applyBorder="1" applyAlignment="1" applyProtection="1">
      <alignment horizontal="center"/>
      <protection hidden="1"/>
    </xf>
    <xf numFmtId="0" fontId="25" fillId="19" borderId="54" xfId="2" applyFill="1" applyBorder="1" applyAlignment="1" applyProtection="1">
      <alignment horizontal="center" vertical="center" wrapText="1"/>
      <protection hidden="1"/>
    </xf>
    <xf numFmtId="0" fontId="28" fillId="19" borderId="125" xfId="2" applyFont="1" applyFill="1" applyBorder="1" applyAlignment="1" applyProtection="1">
      <alignment horizontal="center" vertical="center" wrapText="1"/>
      <protection hidden="1"/>
    </xf>
    <xf numFmtId="0" fontId="28" fillId="19" borderId="105" xfId="2" applyFont="1" applyFill="1" applyBorder="1" applyAlignment="1" applyProtection="1">
      <alignment horizontal="center" vertical="center" wrapText="1"/>
      <protection hidden="1"/>
    </xf>
    <xf numFmtId="0" fontId="25" fillId="19" borderId="189" xfId="2" applyFill="1" applyBorder="1" applyAlignment="1" applyProtection="1">
      <alignment vertical="center"/>
      <protection hidden="1"/>
    </xf>
    <xf numFmtId="3" fontId="30" fillId="18" borderId="126" xfId="2" applyNumberFormat="1" applyFont="1" applyFill="1" applyBorder="1" applyAlignment="1" applyProtection="1">
      <alignment horizontal="center" vertical="center"/>
      <protection hidden="1"/>
    </xf>
    <xf numFmtId="0" fontId="25" fillId="21" borderId="0" xfId="2" applyFill="1" applyBorder="1" applyAlignment="1" applyProtection="1">
      <alignment horizontal="center" vertical="center"/>
      <protection locked="0"/>
    </xf>
    <xf numFmtId="0" fontId="25" fillId="21" borderId="54" xfId="2" applyFill="1" applyBorder="1" applyAlignment="1" applyProtection="1">
      <alignment horizontal="center" vertical="center"/>
      <protection locked="0"/>
    </xf>
    <xf numFmtId="0" fontId="25" fillId="21" borderId="41" xfId="2" applyFill="1" applyBorder="1" applyAlignment="1" applyProtection="1">
      <alignment horizontal="center" vertical="center"/>
      <protection locked="0"/>
    </xf>
    <xf numFmtId="0" fontId="28" fillId="19" borderId="116" xfId="2" applyFont="1" applyFill="1" applyBorder="1" applyAlignment="1" applyProtection="1">
      <alignment horizontal="center" vertical="center" wrapText="1"/>
      <protection hidden="1"/>
    </xf>
    <xf numFmtId="0" fontId="28" fillId="19" borderId="110" xfId="2" applyFont="1" applyFill="1" applyBorder="1" applyAlignment="1" applyProtection="1">
      <alignment horizontal="center" vertical="center" wrapText="1"/>
      <protection hidden="1"/>
    </xf>
    <xf numFmtId="0" fontId="25" fillId="19" borderId="184" xfId="2" applyFill="1" applyBorder="1" applyAlignment="1" applyProtection="1">
      <alignment horizontal="center" vertical="center"/>
      <protection hidden="1"/>
    </xf>
    <xf numFmtId="0" fontId="25" fillId="19" borderId="185" xfId="2" applyFill="1" applyBorder="1" applyAlignment="1" applyProtection="1">
      <alignment horizontal="center" vertical="center"/>
      <protection hidden="1"/>
    </xf>
    <xf numFmtId="0" fontId="25" fillId="19" borderId="186" xfId="2" applyFill="1" applyBorder="1" applyAlignment="1" applyProtection="1">
      <alignment horizontal="center" vertical="center"/>
      <protection hidden="1"/>
    </xf>
    <xf numFmtId="1" fontId="30" fillId="18" borderId="120" xfId="2" applyNumberFormat="1" applyFont="1" applyFill="1" applyBorder="1" applyAlignment="1" applyProtection="1">
      <alignment horizontal="center" vertical="center"/>
      <protection hidden="1"/>
    </xf>
    <xf numFmtId="1" fontId="30" fillId="18" borderId="126" xfId="2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7" fillId="0" borderId="140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left" vertical="center"/>
    </xf>
    <xf numFmtId="0" fontId="42" fillId="0" borderId="140" xfId="0" applyFont="1" applyBorder="1" applyAlignment="1">
      <alignment horizontal="left"/>
    </xf>
    <xf numFmtId="0" fontId="0" fillId="0" borderId="140" xfId="0" applyBorder="1" applyAlignment="1">
      <alignment horizontal="center"/>
    </xf>
    <xf numFmtId="0" fontId="0" fillId="0" borderId="140" xfId="0" applyBorder="1" applyAlignment="1">
      <alignment horizontal="left"/>
    </xf>
    <xf numFmtId="2" fontId="0" fillId="0" borderId="140" xfId="0" applyNumberFormat="1" applyBorder="1" applyAlignment="1">
      <alignment horizontal="center"/>
    </xf>
    <xf numFmtId="3" fontId="0" fillId="0" borderId="140" xfId="0" applyNumberFormat="1" applyBorder="1" applyAlignment="1">
      <alignment horizontal="center"/>
    </xf>
    <xf numFmtId="1" fontId="0" fillId="0" borderId="140" xfId="0" applyNumberFormat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6" fillId="7" borderId="162" xfId="2" applyFont="1" applyFill="1" applyBorder="1" applyAlignment="1">
      <alignment horizontal="center" vertical="center" wrapText="1"/>
    </xf>
    <xf numFmtId="0" fontId="36" fillId="7" borderId="154" xfId="2" applyFont="1" applyFill="1" applyBorder="1" applyAlignment="1">
      <alignment horizontal="center" vertical="center" wrapText="1"/>
    </xf>
    <xf numFmtId="0" fontId="34" fillId="19" borderId="162" xfId="2" applyFont="1" applyFill="1" applyBorder="1" applyAlignment="1">
      <alignment horizontal="center" vertical="center" wrapText="1"/>
    </xf>
    <xf numFmtId="0" fontId="34" fillId="19" borderId="154" xfId="2" applyFont="1" applyFill="1" applyBorder="1" applyAlignment="1">
      <alignment horizontal="center" vertical="center" wrapText="1"/>
    </xf>
    <xf numFmtId="0" fontId="34" fillId="19" borderId="159" xfId="2" applyFont="1" applyFill="1" applyBorder="1" applyAlignment="1">
      <alignment horizontal="center" vertical="center" wrapText="1"/>
    </xf>
    <xf numFmtId="0" fontId="34" fillId="19" borderId="156" xfId="2" applyFont="1" applyFill="1" applyBorder="1" applyAlignment="1">
      <alignment horizontal="center" vertical="center" wrapText="1"/>
    </xf>
    <xf numFmtId="0" fontId="34" fillId="19" borderId="158" xfId="2" applyFont="1" applyFill="1" applyBorder="1" applyAlignment="1">
      <alignment horizontal="center" vertical="center" wrapText="1"/>
    </xf>
    <xf numFmtId="0" fontId="40" fillId="6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/>
      <protection hidden="1"/>
    </xf>
    <xf numFmtId="0" fontId="0" fillId="13" borderId="8" xfId="0" applyFill="1" applyBorder="1" applyAlignment="1" applyProtection="1">
      <alignment horizontal="center"/>
      <protection locked="0"/>
    </xf>
    <xf numFmtId="0" fontId="0" fillId="13" borderId="9" xfId="0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center"/>
      <protection locked="0"/>
    </xf>
    <xf numFmtId="0" fontId="0" fillId="10" borderId="9" xfId="0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hidden="1"/>
    </xf>
    <xf numFmtId="1" fontId="2" fillId="2" borderId="9" xfId="0" applyNumberFormat="1" applyFont="1" applyFill="1" applyBorder="1" applyAlignment="1" applyProtection="1">
      <alignment horizontal="center"/>
      <protection hidden="1"/>
    </xf>
    <xf numFmtId="0" fontId="21" fillId="2" borderId="17" xfId="0" applyFont="1" applyFill="1" applyBorder="1" applyAlignment="1" applyProtection="1">
      <alignment horizontal="center"/>
      <protection hidden="1"/>
    </xf>
    <xf numFmtId="0" fontId="21" fillId="2" borderId="18" xfId="0" applyFont="1" applyFill="1" applyBorder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34" fillId="19" borderId="158" xfId="2" applyFont="1" applyFill="1" applyBorder="1" applyAlignment="1" applyProtection="1">
      <alignment horizontal="center" vertical="center" wrapText="1"/>
      <protection hidden="1"/>
    </xf>
    <xf numFmtId="0" fontId="34" fillId="19" borderId="154" xfId="2" applyFont="1" applyFill="1" applyBorder="1" applyAlignment="1" applyProtection="1">
      <alignment horizontal="center" vertical="center" wrapText="1"/>
      <protection hidden="1"/>
    </xf>
    <xf numFmtId="0" fontId="34" fillId="19" borderId="159" xfId="2" applyFont="1" applyFill="1" applyBorder="1" applyAlignment="1" applyProtection="1">
      <alignment horizontal="center" vertical="center" wrapText="1"/>
      <protection hidden="1"/>
    </xf>
    <xf numFmtId="0" fontId="34" fillId="19" borderId="156" xfId="2" applyFont="1" applyFill="1" applyBorder="1" applyAlignment="1" applyProtection="1">
      <alignment horizontal="center" vertical="center" wrapText="1"/>
      <protection hidden="1"/>
    </xf>
    <xf numFmtId="0" fontId="34" fillId="19" borderId="162" xfId="2" applyFont="1" applyFill="1" applyBorder="1" applyAlignment="1" applyProtection="1">
      <alignment horizontal="center" vertical="center" wrapText="1"/>
      <protection hidden="1"/>
    </xf>
    <xf numFmtId="0" fontId="36" fillId="7" borderId="162" xfId="2" applyFont="1" applyFill="1" applyBorder="1" applyAlignment="1" applyProtection="1">
      <alignment horizontal="center" vertical="center" wrapText="1"/>
      <protection hidden="1"/>
    </xf>
    <xf numFmtId="0" fontId="36" fillId="7" borderId="154" xfId="2" applyFont="1" applyFill="1" applyBorder="1" applyAlignment="1" applyProtection="1">
      <alignment horizontal="center" vertical="center" wrapText="1"/>
      <protection hidden="1"/>
    </xf>
    <xf numFmtId="14" fontId="0" fillId="0" borderId="140" xfId="0" applyNumberFormat="1" applyBorder="1" applyAlignment="1">
      <alignment horizontal="center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</cellXfs>
  <cellStyles count="4">
    <cellStyle name="Euro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DE6AC"/>
      <color rgb="FFE23C2A"/>
      <color rgb="FFA1C6E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'Bilan 2'!$K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517525</xdr:colOff>
      <xdr:row>4</xdr:row>
      <xdr:rowOff>193675</xdr:rowOff>
    </xdr:to>
    <xdr:pic>
      <xdr:nvPicPr>
        <xdr:cNvPr id="2" name="Picture 1" descr="logoe_ie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02235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644525</xdr:colOff>
      <xdr:row>10</xdr:row>
      <xdr:rowOff>53975</xdr:rowOff>
    </xdr:from>
    <xdr:to>
      <xdr:col>1</xdr:col>
      <xdr:colOff>873125</xdr:colOff>
      <xdr:row>10</xdr:row>
      <xdr:rowOff>155575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77925" y="1978025"/>
          <a:ext cx="228600" cy="1016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38100</xdr:rowOff>
    </xdr:from>
    <xdr:to>
      <xdr:col>1</xdr:col>
      <xdr:colOff>695325</xdr:colOff>
      <xdr:row>8</xdr:row>
      <xdr:rowOff>142875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238250" y="1571625"/>
          <a:ext cx="219075" cy="1047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5</xdr:row>
      <xdr:rowOff>66675</xdr:rowOff>
    </xdr:to>
    <xdr:pic>
      <xdr:nvPicPr>
        <xdr:cNvPr id="3" name="Image 3" descr="Logo Institut RVB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17</xdr:row>
          <xdr:rowOff>57150</xdr:rowOff>
        </xdr:from>
        <xdr:to>
          <xdr:col>9</xdr:col>
          <xdr:colOff>657225</xdr:colOff>
          <xdr:row>17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3"/>
  <sheetViews>
    <sheetView showGridLines="0" workbookViewId="0">
      <selection sqref="A1:XFD1048576"/>
    </sheetView>
  </sheetViews>
  <sheetFormatPr baseColWidth="10" defaultColWidth="11.7109375" defaultRowHeight="14.25" x14ac:dyDescent="0.3"/>
  <cols>
    <col min="1" max="1" width="3.28515625" style="92" customWidth="1"/>
    <col min="2" max="2" width="20.5703125" style="92" customWidth="1"/>
    <col min="3" max="3" width="13.85546875" style="92" customWidth="1"/>
    <col min="4" max="5" width="7.7109375" style="92" customWidth="1"/>
    <col min="6" max="6" width="9" style="92" customWidth="1"/>
    <col min="7" max="7" width="14.7109375" style="92" customWidth="1"/>
    <col min="8" max="8" width="11.7109375" style="92" customWidth="1"/>
    <col min="9" max="9" width="15.140625" style="92" customWidth="1"/>
    <col min="10" max="10" width="3.42578125" style="92" customWidth="1"/>
    <col min="11" max="11" width="3.7109375" style="92" customWidth="1"/>
    <col min="12" max="12" width="6.28515625" style="92" customWidth="1"/>
    <col min="13" max="13" width="20.85546875" style="92" customWidth="1"/>
    <col min="14" max="14" width="13.28515625" style="92" customWidth="1"/>
    <col min="15" max="15" width="21.42578125" style="92" customWidth="1"/>
    <col min="16" max="16" width="12.5703125" style="92" customWidth="1"/>
    <col min="17" max="256" width="11.7109375" style="92"/>
    <col min="257" max="257" width="3.28515625" style="92" customWidth="1"/>
    <col min="258" max="258" width="20.5703125" style="92" customWidth="1"/>
    <col min="259" max="259" width="13.85546875" style="92" customWidth="1"/>
    <col min="260" max="261" width="7.7109375" style="92" customWidth="1"/>
    <col min="262" max="262" width="9" style="92" customWidth="1"/>
    <col min="263" max="263" width="14.7109375" style="92" customWidth="1"/>
    <col min="264" max="264" width="11.7109375" style="92" customWidth="1"/>
    <col min="265" max="265" width="15.140625" style="92" customWidth="1"/>
    <col min="266" max="266" width="3.42578125" style="92" customWidth="1"/>
    <col min="267" max="269" width="8.42578125" style="92" customWidth="1"/>
    <col min="270" max="271" width="13.28515625" style="92" customWidth="1"/>
    <col min="272" max="272" width="12.5703125" style="92" customWidth="1"/>
    <col min="273" max="512" width="11.7109375" style="92"/>
    <col min="513" max="513" width="3.28515625" style="92" customWidth="1"/>
    <col min="514" max="514" width="20.5703125" style="92" customWidth="1"/>
    <col min="515" max="515" width="13.85546875" style="92" customWidth="1"/>
    <col min="516" max="517" width="7.7109375" style="92" customWidth="1"/>
    <col min="518" max="518" width="9" style="92" customWidth="1"/>
    <col min="519" max="519" width="14.7109375" style="92" customWidth="1"/>
    <col min="520" max="520" width="11.7109375" style="92" customWidth="1"/>
    <col min="521" max="521" width="15.140625" style="92" customWidth="1"/>
    <col min="522" max="522" width="3.42578125" style="92" customWidth="1"/>
    <col min="523" max="525" width="8.42578125" style="92" customWidth="1"/>
    <col min="526" max="527" width="13.28515625" style="92" customWidth="1"/>
    <col min="528" max="528" width="12.5703125" style="92" customWidth="1"/>
    <col min="529" max="768" width="11.7109375" style="92"/>
    <col min="769" max="769" width="3.28515625" style="92" customWidth="1"/>
    <col min="770" max="770" width="20.5703125" style="92" customWidth="1"/>
    <col min="771" max="771" width="13.85546875" style="92" customWidth="1"/>
    <col min="772" max="773" width="7.7109375" style="92" customWidth="1"/>
    <col min="774" max="774" width="9" style="92" customWidth="1"/>
    <col min="775" max="775" width="14.7109375" style="92" customWidth="1"/>
    <col min="776" max="776" width="11.7109375" style="92" customWidth="1"/>
    <col min="777" max="777" width="15.140625" style="92" customWidth="1"/>
    <col min="778" max="778" width="3.42578125" style="92" customWidth="1"/>
    <col min="779" max="781" width="8.42578125" style="92" customWidth="1"/>
    <col min="782" max="783" width="13.28515625" style="92" customWidth="1"/>
    <col min="784" max="784" width="12.5703125" style="92" customWidth="1"/>
    <col min="785" max="1024" width="11.7109375" style="92"/>
    <col min="1025" max="1025" width="3.28515625" style="92" customWidth="1"/>
    <col min="1026" max="1026" width="20.5703125" style="92" customWidth="1"/>
    <col min="1027" max="1027" width="13.85546875" style="92" customWidth="1"/>
    <col min="1028" max="1029" width="7.7109375" style="92" customWidth="1"/>
    <col min="1030" max="1030" width="9" style="92" customWidth="1"/>
    <col min="1031" max="1031" width="14.7109375" style="92" customWidth="1"/>
    <col min="1032" max="1032" width="11.7109375" style="92" customWidth="1"/>
    <col min="1033" max="1033" width="15.140625" style="92" customWidth="1"/>
    <col min="1034" max="1034" width="3.42578125" style="92" customWidth="1"/>
    <col min="1035" max="1037" width="8.42578125" style="92" customWidth="1"/>
    <col min="1038" max="1039" width="13.28515625" style="92" customWidth="1"/>
    <col min="1040" max="1040" width="12.5703125" style="92" customWidth="1"/>
    <col min="1041" max="1280" width="11.7109375" style="92"/>
    <col min="1281" max="1281" width="3.28515625" style="92" customWidth="1"/>
    <col min="1282" max="1282" width="20.5703125" style="92" customWidth="1"/>
    <col min="1283" max="1283" width="13.85546875" style="92" customWidth="1"/>
    <col min="1284" max="1285" width="7.7109375" style="92" customWidth="1"/>
    <col min="1286" max="1286" width="9" style="92" customWidth="1"/>
    <col min="1287" max="1287" width="14.7109375" style="92" customWidth="1"/>
    <col min="1288" max="1288" width="11.7109375" style="92" customWidth="1"/>
    <col min="1289" max="1289" width="15.140625" style="92" customWidth="1"/>
    <col min="1290" max="1290" width="3.42578125" style="92" customWidth="1"/>
    <col min="1291" max="1293" width="8.42578125" style="92" customWidth="1"/>
    <col min="1294" max="1295" width="13.28515625" style="92" customWidth="1"/>
    <col min="1296" max="1296" width="12.5703125" style="92" customWidth="1"/>
    <col min="1297" max="1536" width="11.7109375" style="92"/>
    <col min="1537" max="1537" width="3.28515625" style="92" customWidth="1"/>
    <col min="1538" max="1538" width="20.5703125" style="92" customWidth="1"/>
    <col min="1539" max="1539" width="13.85546875" style="92" customWidth="1"/>
    <col min="1540" max="1541" width="7.7109375" style="92" customWidth="1"/>
    <col min="1542" max="1542" width="9" style="92" customWidth="1"/>
    <col min="1543" max="1543" width="14.7109375" style="92" customWidth="1"/>
    <col min="1544" max="1544" width="11.7109375" style="92" customWidth="1"/>
    <col min="1545" max="1545" width="15.140625" style="92" customWidth="1"/>
    <col min="1546" max="1546" width="3.42578125" style="92" customWidth="1"/>
    <col min="1547" max="1549" width="8.42578125" style="92" customWidth="1"/>
    <col min="1550" max="1551" width="13.28515625" style="92" customWidth="1"/>
    <col min="1552" max="1552" width="12.5703125" style="92" customWidth="1"/>
    <col min="1553" max="1792" width="11.7109375" style="92"/>
    <col min="1793" max="1793" width="3.28515625" style="92" customWidth="1"/>
    <col min="1794" max="1794" width="20.5703125" style="92" customWidth="1"/>
    <col min="1795" max="1795" width="13.85546875" style="92" customWidth="1"/>
    <col min="1796" max="1797" width="7.7109375" style="92" customWidth="1"/>
    <col min="1798" max="1798" width="9" style="92" customWidth="1"/>
    <col min="1799" max="1799" width="14.7109375" style="92" customWidth="1"/>
    <col min="1800" max="1800" width="11.7109375" style="92" customWidth="1"/>
    <col min="1801" max="1801" width="15.140625" style="92" customWidth="1"/>
    <col min="1802" max="1802" width="3.42578125" style="92" customWidth="1"/>
    <col min="1803" max="1805" width="8.42578125" style="92" customWidth="1"/>
    <col min="1806" max="1807" width="13.28515625" style="92" customWidth="1"/>
    <col min="1808" max="1808" width="12.5703125" style="92" customWidth="1"/>
    <col min="1809" max="2048" width="11.7109375" style="92"/>
    <col min="2049" max="2049" width="3.28515625" style="92" customWidth="1"/>
    <col min="2050" max="2050" width="20.5703125" style="92" customWidth="1"/>
    <col min="2051" max="2051" width="13.85546875" style="92" customWidth="1"/>
    <col min="2052" max="2053" width="7.7109375" style="92" customWidth="1"/>
    <col min="2054" max="2054" width="9" style="92" customWidth="1"/>
    <col min="2055" max="2055" width="14.7109375" style="92" customWidth="1"/>
    <col min="2056" max="2056" width="11.7109375" style="92" customWidth="1"/>
    <col min="2057" max="2057" width="15.140625" style="92" customWidth="1"/>
    <col min="2058" max="2058" width="3.42578125" style="92" customWidth="1"/>
    <col min="2059" max="2061" width="8.42578125" style="92" customWidth="1"/>
    <col min="2062" max="2063" width="13.28515625" style="92" customWidth="1"/>
    <col min="2064" max="2064" width="12.5703125" style="92" customWidth="1"/>
    <col min="2065" max="2304" width="11.7109375" style="92"/>
    <col min="2305" max="2305" width="3.28515625" style="92" customWidth="1"/>
    <col min="2306" max="2306" width="20.5703125" style="92" customWidth="1"/>
    <col min="2307" max="2307" width="13.85546875" style="92" customWidth="1"/>
    <col min="2308" max="2309" width="7.7109375" style="92" customWidth="1"/>
    <col min="2310" max="2310" width="9" style="92" customWidth="1"/>
    <col min="2311" max="2311" width="14.7109375" style="92" customWidth="1"/>
    <col min="2312" max="2312" width="11.7109375" style="92" customWidth="1"/>
    <col min="2313" max="2313" width="15.140625" style="92" customWidth="1"/>
    <col min="2314" max="2314" width="3.42578125" style="92" customWidth="1"/>
    <col min="2315" max="2317" width="8.42578125" style="92" customWidth="1"/>
    <col min="2318" max="2319" width="13.28515625" style="92" customWidth="1"/>
    <col min="2320" max="2320" width="12.5703125" style="92" customWidth="1"/>
    <col min="2321" max="2560" width="11.7109375" style="92"/>
    <col min="2561" max="2561" width="3.28515625" style="92" customWidth="1"/>
    <col min="2562" max="2562" width="20.5703125" style="92" customWidth="1"/>
    <col min="2563" max="2563" width="13.85546875" style="92" customWidth="1"/>
    <col min="2564" max="2565" width="7.7109375" style="92" customWidth="1"/>
    <col min="2566" max="2566" width="9" style="92" customWidth="1"/>
    <col min="2567" max="2567" width="14.7109375" style="92" customWidth="1"/>
    <col min="2568" max="2568" width="11.7109375" style="92" customWidth="1"/>
    <col min="2569" max="2569" width="15.140625" style="92" customWidth="1"/>
    <col min="2570" max="2570" width="3.42578125" style="92" customWidth="1"/>
    <col min="2571" max="2573" width="8.42578125" style="92" customWidth="1"/>
    <col min="2574" max="2575" width="13.28515625" style="92" customWidth="1"/>
    <col min="2576" max="2576" width="12.5703125" style="92" customWidth="1"/>
    <col min="2577" max="2816" width="11.7109375" style="92"/>
    <col min="2817" max="2817" width="3.28515625" style="92" customWidth="1"/>
    <col min="2818" max="2818" width="20.5703125" style="92" customWidth="1"/>
    <col min="2819" max="2819" width="13.85546875" style="92" customWidth="1"/>
    <col min="2820" max="2821" width="7.7109375" style="92" customWidth="1"/>
    <col min="2822" max="2822" width="9" style="92" customWidth="1"/>
    <col min="2823" max="2823" width="14.7109375" style="92" customWidth="1"/>
    <col min="2824" max="2824" width="11.7109375" style="92" customWidth="1"/>
    <col min="2825" max="2825" width="15.140625" style="92" customWidth="1"/>
    <col min="2826" max="2826" width="3.42578125" style="92" customWidth="1"/>
    <col min="2827" max="2829" width="8.42578125" style="92" customWidth="1"/>
    <col min="2830" max="2831" width="13.28515625" style="92" customWidth="1"/>
    <col min="2832" max="2832" width="12.5703125" style="92" customWidth="1"/>
    <col min="2833" max="3072" width="11.7109375" style="92"/>
    <col min="3073" max="3073" width="3.28515625" style="92" customWidth="1"/>
    <col min="3074" max="3074" width="20.5703125" style="92" customWidth="1"/>
    <col min="3075" max="3075" width="13.85546875" style="92" customWidth="1"/>
    <col min="3076" max="3077" width="7.7109375" style="92" customWidth="1"/>
    <col min="3078" max="3078" width="9" style="92" customWidth="1"/>
    <col min="3079" max="3079" width="14.7109375" style="92" customWidth="1"/>
    <col min="3080" max="3080" width="11.7109375" style="92" customWidth="1"/>
    <col min="3081" max="3081" width="15.140625" style="92" customWidth="1"/>
    <col min="3082" max="3082" width="3.42578125" style="92" customWidth="1"/>
    <col min="3083" max="3085" width="8.42578125" style="92" customWidth="1"/>
    <col min="3086" max="3087" width="13.28515625" style="92" customWidth="1"/>
    <col min="3088" max="3088" width="12.5703125" style="92" customWidth="1"/>
    <col min="3089" max="3328" width="11.7109375" style="92"/>
    <col min="3329" max="3329" width="3.28515625" style="92" customWidth="1"/>
    <col min="3330" max="3330" width="20.5703125" style="92" customWidth="1"/>
    <col min="3331" max="3331" width="13.85546875" style="92" customWidth="1"/>
    <col min="3332" max="3333" width="7.7109375" style="92" customWidth="1"/>
    <col min="3334" max="3334" width="9" style="92" customWidth="1"/>
    <col min="3335" max="3335" width="14.7109375" style="92" customWidth="1"/>
    <col min="3336" max="3336" width="11.7109375" style="92" customWidth="1"/>
    <col min="3337" max="3337" width="15.140625" style="92" customWidth="1"/>
    <col min="3338" max="3338" width="3.42578125" style="92" customWidth="1"/>
    <col min="3339" max="3341" width="8.42578125" style="92" customWidth="1"/>
    <col min="3342" max="3343" width="13.28515625" style="92" customWidth="1"/>
    <col min="3344" max="3344" width="12.5703125" style="92" customWidth="1"/>
    <col min="3345" max="3584" width="11.7109375" style="92"/>
    <col min="3585" max="3585" width="3.28515625" style="92" customWidth="1"/>
    <col min="3586" max="3586" width="20.5703125" style="92" customWidth="1"/>
    <col min="3587" max="3587" width="13.85546875" style="92" customWidth="1"/>
    <col min="3588" max="3589" width="7.7109375" style="92" customWidth="1"/>
    <col min="3590" max="3590" width="9" style="92" customWidth="1"/>
    <col min="3591" max="3591" width="14.7109375" style="92" customWidth="1"/>
    <col min="3592" max="3592" width="11.7109375" style="92" customWidth="1"/>
    <col min="3593" max="3593" width="15.140625" style="92" customWidth="1"/>
    <col min="3594" max="3594" width="3.42578125" style="92" customWidth="1"/>
    <col min="3595" max="3597" width="8.42578125" style="92" customWidth="1"/>
    <col min="3598" max="3599" width="13.28515625" style="92" customWidth="1"/>
    <col min="3600" max="3600" width="12.5703125" style="92" customWidth="1"/>
    <col min="3601" max="3840" width="11.7109375" style="92"/>
    <col min="3841" max="3841" width="3.28515625" style="92" customWidth="1"/>
    <col min="3842" max="3842" width="20.5703125" style="92" customWidth="1"/>
    <col min="3843" max="3843" width="13.85546875" style="92" customWidth="1"/>
    <col min="3844" max="3845" width="7.7109375" style="92" customWidth="1"/>
    <col min="3846" max="3846" width="9" style="92" customWidth="1"/>
    <col min="3847" max="3847" width="14.7109375" style="92" customWidth="1"/>
    <col min="3848" max="3848" width="11.7109375" style="92" customWidth="1"/>
    <col min="3849" max="3849" width="15.140625" style="92" customWidth="1"/>
    <col min="3850" max="3850" width="3.42578125" style="92" customWidth="1"/>
    <col min="3851" max="3853" width="8.42578125" style="92" customWidth="1"/>
    <col min="3854" max="3855" width="13.28515625" style="92" customWidth="1"/>
    <col min="3856" max="3856" width="12.5703125" style="92" customWidth="1"/>
    <col min="3857" max="4096" width="11.7109375" style="92"/>
    <col min="4097" max="4097" width="3.28515625" style="92" customWidth="1"/>
    <col min="4098" max="4098" width="20.5703125" style="92" customWidth="1"/>
    <col min="4099" max="4099" width="13.85546875" style="92" customWidth="1"/>
    <col min="4100" max="4101" width="7.7109375" style="92" customWidth="1"/>
    <col min="4102" max="4102" width="9" style="92" customWidth="1"/>
    <col min="4103" max="4103" width="14.7109375" style="92" customWidth="1"/>
    <col min="4104" max="4104" width="11.7109375" style="92" customWidth="1"/>
    <col min="4105" max="4105" width="15.140625" style="92" customWidth="1"/>
    <col min="4106" max="4106" width="3.42578125" style="92" customWidth="1"/>
    <col min="4107" max="4109" width="8.42578125" style="92" customWidth="1"/>
    <col min="4110" max="4111" width="13.28515625" style="92" customWidth="1"/>
    <col min="4112" max="4112" width="12.5703125" style="92" customWidth="1"/>
    <col min="4113" max="4352" width="11.7109375" style="92"/>
    <col min="4353" max="4353" width="3.28515625" style="92" customWidth="1"/>
    <col min="4354" max="4354" width="20.5703125" style="92" customWidth="1"/>
    <col min="4355" max="4355" width="13.85546875" style="92" customWidth="1"/>
    <col min="4356" max="4357" width="7.7109375" style="92" customWidth="1"/>
    <col min="4358" max="4358" width="9" style="92" customWidth="1"/>
    <col min="4359" max="4359" width="14.7109375" style="92" customWidth="1"/>
    <col min="4360" max="4360" width="11.7109375" style="92" customWidth="1"/>
    <col min="4361" max="4361" width="15.140625" style="92" customWidth="1"/>
    <col min="4362" max="4362" width="3.42578125" style="92" customWidth="1"/>
    <col min="4363" max="4365" width="8.42578125" style="92" customWidth="1"/>
    <col min="4366" max="4367" width="13.28515625" style="92" customWidth="1"/>
    <col min="4368" max="4368" width="12.5703125" style="92" customWidth="1"/>
    <col min="4369" max="4608" width="11.7109375" style="92"/>
    <col min="4609" max="4609" width="3.28515625" style="92" customWidth="1"/>
    <col min="4610" max="4610" width="20.5703125" style="92" customWidth="1"/>
    <col min="4611" max="4611" width="13.85546875" style="92" customWidth="1"/>
    <col min="4612" max="4613" width="7.7109375" style="92" customWidth="1"/>
    <col min="4614" max="4614" width="9" style="92" customWidth="1"/>
    <col min="4615" max="4615" width="14.7109375" style="92" customWidth="1"/>
    <col min="4616" max="4616" width="11.7109375" style="92" customWidth="1"/>
    <col min="4617" max="4617" width="15.140625" style="92" customWidth="1"/>
    <col min="4618" max="4618" width="3.42578125" style="92" customWidth="1"/>
    <col min="4619" max="4621" width="8.42578125" style="92" customWidth="1"/>
    <col min="4622" max="4623" width="13.28515625" style="92" customWidth="1"/>
    <col min="4624" max="4624" width="12.5703125" style="92" customWidth="1"/>
    <col min="4625" max="4864" width="11.7109375" style="92"/>
    <col min="4865" max="4865" width="3.28515625" style="92" customWidth="1"/>
    <col min="4866" max="4866" width="20.5703125" style="92" customWidth="1"/>
    <col min="4867" max="4867" width="13.85546875" style="92" customWidth="1"/>
    <col min="4868" max="4869" width="7.7109375" style="92" customWidth="1"/>
    <col min="4870" max="4870" width="9" style="92" customWidth="1"/>
    <col min="4871" max="4871" width="14.7109375" style="92" customWidth="1"/>
    <col min="4872" max="4872" width="11.7109375" style="92" customWidth="1"/>
    <col min="4873" max="4873" width="15.140625" style="92" customWidth="1"/>
    <col min="4874" max="4874" width="3.42578125" style="92" customWidth="1"/>
    <col min="4875" max="4877" width="8.42578125" style="92" customWidth="1"/>
    <col min="4878" max="4879" width="13.28515625" style="92" customWidth="1"/>
    <col min="4880" max="4880" width="12.5703125" style="92" customWidth="1"/>
    <col min="4881" max="5120" width="11.7109375" style="92"/>
    <col min="5121" max="5121" width="3.28515625" style="92" customWidth="1"/>
    <col min="5122" max="5122" width="20.5703125" style="92" customWidth="1"/>
    <col min="5123" max="5123" width="13.85546875" style="92" customWidth="1"/>
    <col min="5124" max="5125" width="7.7109375" style="92" customWidth="1"/>
    <col min="5126" max="5126" width="9" style="92" customWidth="1"/>
    <col min="5127" max="5127" width="14.7109375" style="92" customWidth="1"/>
    <col min="5128" max="5128" width="11.7109375" style="92" customWidth="1"/>
    <col min="5129" max="5129" width="15.140625" style="92" customWidth="1"/>
    <col min="5130" max="5130" width="3.42578125" style="92" customWidth="1"/>
    <col min="5131" max="5133" width="8.42578125" style="92" customWidth="1"/>
    <col min="5134" max="5135" width="13.28515625" style="92" customWidth="1"/>
    <col min="5136" max="5136" width="12.5703125" style="92" customWidth="1"/>
    <col min="5137" max="5376" width="11.7109375" style="92"/>
    <col min="5377" max="5377" width="3.28515625" style="92" customWidth="1"/>
    <col min="5378" max="5378" width="20.5703125" style="92" customWidth="1"/>
    <col min="5379" max="5379" width="13.85546875" style="92" customWidth="1"/>
    <col min="5380" max="5381" width="7.7109375" style="92" customWidth="1"/>
    <col min="5382" max="5382" width="9" style="92" customWidth="1"/>
    <col min="5383" max="5383" width="14.7109375" style="92" customWidth="1"/>
    <col min="5384" max="5384" width="11.7109375" style="92" customWidth="1"/>
    <col min="5385" max="5385" width="15.140625" style="92" customWidth="1"/>
    <col min="5386" max="5386" width="3.42578125" style="92" customWidth="1"/>
    <col min="5387" max="5389" width="8.42578125" style="92" customWidth="1"/>
    <col min="5390" max="5391" width="13.28515625" style="92" customWidth="1"/>
    <col min="5392" max="5392" width="12.5703125" style="92" customWidth="1"/>
    <col min="5393" max="5632" width="11.7109375" style="92"/>
    <col min="5633" max="5633" width="3.28515625" style="92" customWidth="1"/>
    <col min="5634" max="5634" width="20.5703125" style="92" customWidth="1"/>
    <col min="5635" max="5635" width="13.85546875" style="92" customWidth="1"/>
    <col min="5636" max="5637" width="7.7109375" style="92" customWidth="1"/>
    <col min="5638" max="5638" width="9" style="92" customWidth="1"/>
    <col min="5639" max="5639" width="14.7109375" style="92" customWidth="1"/>
    <col min="5640" max="5640" width="11.7109375" style="92" customWidth="1"/>
    <col min="5641" max="5641" width="15.140625" style="92" customWidth="1"/>
    <col min="5642" max="5642" width="3.42578125" style="92" customWidth="1"/>
    <col min="5643" max="5645" width="8.42578125" style="92" customWidth="1"/>
    <col min="5646" max="5647" width="13.28515625" style="92" customWidth="1"/>
    <col min="5648" max="5648" width="12.5703125" style="92" customWidth="1"/>
    <col min="5649" max="5888" width="11.7109375" style="92"/>
    <col min="5889" max="5889" width="3.28515625" style="92" customWidth="1"/>
    <col min="5890" max="5890" width="20.5703125" style="92" customWidth="1"/>
    <col min="5891" max="5891" width="13.85546875" style="92" customWidth="1"/>
    <col min="5892" max="5893" width="7.7109375" style="92" customWidth="1"/>
    <col min="5894" max="5894" width="9" style="92" customWidth="1"/>
    <col min="5895" max="5895" width="14.7109375" style="92" customWidth="1"/>
    <col min="5896" max="5896" width="11.7109375" style="92" customWidth="1"/>
    <col min="5897" max="5897" width="15.140625" style="92" customWidth="1"/>
    <col min="5898" max="5898" width="3.42578125" style="92" customWidth="1"/>
    <col min="5899" max="5901" width="8.42578125" style="92" customWidth="1"/>
    <col min="5902" max="5903" width="13.28515625" style="92" customWidth="1"/>
    <col min="5904" max="5904" width="12.5703125" style="92" customWidth="1"/>
    <col min="5905" max="6144" width="11.7109375" style="92"/>
    <col min="6145" max="6145" width="3.28515625" style="92" customWidth="1"/>
    <col min="6146" max="6146" width="20.5703125" style="92" customWidth="1"/>
    <col min="6147" max="6147" width="13.85546875" style="92" customWidth="1"/>
    <col min="6148" max="6149" width="7.7109375" style="92" customWidth="1"/>
    <col min="6150" max="6150" width="9" style="92" customWidth="1"/>
    <col min="6151" max="6151" width="14.7109375" style="92" customWidth="1"/>
    <col min="6152" max="6152" width="11.7109375" style="92" customWidth="1"/>
    <col min="6153" max="6153" width="15.140625" style="92" customWidth="1"/>
    <col min="6154" max="6154" width="3.42578125" style="92" customWidth="1"/>
    <col min="6155" max="6157" width="8.42578125" style="92" customWidth="1"/>
    <col min="6158" max="6159" width="13.28515625" style="92" customWidth="1"/>
    <col min="6160" max="6160" width="12.5703125" style="92" customWidth="1"/>
    <col min="6161" max="6400" width="11.7109375" style="92"/>
    <col min="6401" max="6401" width="3.28515625" style="92" customWidth="1"/>
    <col min="6402" max="6402" width="20.5703125" style="92" customWidth="1"/>
    <col min="6403" max="6403" width="13.85546875" style="92" customWidth="1"/>
    <col min="6404" max="6405" width="7.7109375" style="92" customWidth="1"/>
    <col min="6406" max="6406" width="9" style="92" customWidth="1"/>
    <col min="6407" max="6407" width="14.7109375" style="92" customWidth="1"/>
    <col min="6408" max="6408" width="11.7109375" style="92" customWidth="1"/>
    <col min="6409" max="6409" width="15.140625" style="92" customWidth="1"/>
    <col min="6410" max="6410" width="3.42578125" style="92" customWidth="1"/>
    <col min="6411" max="6413" width="8.42578125" style="92" customWidth="1"/>
    <col min="6414" max="6415" width="13.28515625" style="92" customWidth="1"/>
    <col min="6416" max="6416" width="12.5703125" style="92" customWidth="1"/>
    <col min="6417" max="6656" width="11.7109375" style="92"/>
    <col min="6657" max="6657" width="3.28515625" style="92" customWidth="1"/>
    <col min="6658" max="6658" width="20.5703125" style="92" customWidth="1"/>
    <col min="6659" max="6659" width="13.85546875" style="92" customWidth="1"/>
    <col min="6660" max="6661" width="7.7109375" style="92" customWidth="1"/>
    <col min="6662" max="6662" width="9" style="92" customWidth="1"/>
    <col min="6663" max="6663" width="14.7109375" style="92" customWidth="1"/>
    <col min="6664" max="6664" width="11.7109375" style="92" customWidth="1"/>
    <col min="6665" max="6665" width="15.140625" style="92" customWidth="1"/>
    <col min="6666" max="6666" width="3.42578125" style="92" customWidth="1"/>
    <col min="6667" max="6669" width="8.42578125" style="92" customWidth="1"/>
    <col min="6670" max="6671" width="13.28515625" style="92" customWidth="1"/>
    <col min="6672" max="6672" width="12.5703125" style="92" customWidth="1"/>
    <col min="6673" max="6912" width="11.7109375" style="92"/>
    <col min="6913" max="6913" width="3.28515625" style="92" customWidth="1"/>
    <col min="6914" max="6914" width="20.5703125" style="92" customWidth="1"/>
    <col min="6915" max="6915" width="13.85546875" style="92" customWidth="1"/>
    <col min="6916" max="6917" width="7.7109375" style="92" customWidth="1"/>
    <col min="6918" max="6918" width="9" style="92" customWidth="1"/>
    <col min="6919" max="6919" width="14.7109375" style="92" customWidth="1"/>
    <col min="6920" max="6920" width="11.7109375" style="92" customWidth="1"/>
    <col min="6921" max="6921" width="15.140625" style="92" customWidth="1"/>
    <col min="6922" max="6922" width="3.42578125" style="92" customWidth="1"/>
    <col min="6923" max="6925" width="8.42578125" style="92" customWidth="1"/>
    <col min="6926" max="6927" width="13.28515625" style="92" customWidth="1"/>
    <col min="6928" max="6928" width="12.5703125" style="92" customWidth="1"/>
    <col min="6929" max="7168" width="11.7109375" style="92"/>
    <col min="7169" max="7169" width="3.28515625" style="92" customWidth="1"/>
    <col min="7170" max="7170" width="20.5703125" style="92" customWidth="1"/>
    <col min="7171" max="7171" width="13.85546875" style="92" customWidth="1"/>
    <col min="7172" max="7173" width="7.7109375" style="92" customWidth="1"/>
    <col min="7174" max="7174" width="9" style="92" customWidth="1"/>
    <col min="7175" max="7175" width="14.7109375" style="92" customWidth="1"/>
    <col min="7176" max="7176" width="11.7109375" style="92" customWidth="1"/>
    <col min="7177" max="7177" width="15.140625" style="92" customWidth="1"/>
    <col min="7178" max="7178" width="3.42578125" style="92" customWidth="1"/>
    <col min="7179" max="7181" width="8.42578125" style="92" customWidth="1"/>
    <col min="7182" max="7183" width="13.28515625" style="92" customWidth="1"/>
    <col min="7184" max="7184" width="12.5703125" style="92" customWidth="1"/>
    <col min="7185" max="7424" width="11.7109375" style="92"/>
    <col min="7425" max="7425" width="3.28515625" style="92" customWidth="1"/>
    <col min="7426" max="7426" width="20.5703125" style="92" customWidth="1"/>
    <col min="7427" max="7427" width="13.85546875" style="92" customWidth="1"/>
    <col min="7428" max="7429" width="7.7109375" style="92" customWidth="1"/>
    <col min="7430" max="7430" width="9" style="92" customWidth="1"/>
    <col min="7431" max="7431" width="14.7109375" style="92" customWidth="1"/>
    <col min="7432" max="7432" width="11.7109375" style="92" customWidth="1"/>
    <col min="7433" max="7433" width="15.140625" style="92" customWidth="1"/>
    <col min="7434" max="7434" width="3.42578125" style="92" customWidth="1"/>
    <col min="7435" max="7437" width="8.42578125" style="92" customWidth="1"/>
    <col min="7438" max="7439" width="13.28515625" style="92" customWidth="1"/>
    <col min="7440" max="7440" width="12.5703125" style="92" customWidth="1"/>
    <col min="7441" max="7680" width="11.7109375" style="92"/>
    <col min="7681" max="7681" width="3.28515625" style="92" customWidth="1"/>
    <col min="7682" max="7682" width="20.5703125" style="92" customWidth="1"/>
    <col min="7683" max="7683" width="13.85546875" style="92" customWidth="1"/>
    <col min="7684" max="7685" width="7.7109375" style="92" customWidth="1"/>
    <col min="7686" max="7686" width="9" style="92" customWidth="1"/>
    <col min="7687" max="7687" width="14.7109375" style="92" customWidth="1"/>
    <col min="7688" max="7688" width="11.7109375" style="92" customWidth="1"/>
    <col min="7689" max="7689" width="15.140625" style="92" customWidth="1"/>
    <col min="7690" max="7690" width="3.42578125" style="92" customWidth="1"/>
    <col min="7691" max="7693" width="8.42578125" style="92" customWidth="1"/>
    <col min="7694" max="7695" width="13.28515625" style="92" customWidth="1"/>
    <col min="7696" max="7696" width="12.5703125" style="92" customWidth="1"/>
    <col min="7697" max="7936" width="11.7109375" style="92"/>
    <col min="7937" max="7937" width="3.28515625" style="92" customWidth="1"/>
    <col min="7938" max="7938" width="20.5703125" style="92" customWidth="1"/>
    <col min="7939" max="7939" width="13.85546875" style="92" customWidth="1"/>
    <col min="7940" max="7941" width="7.7109375" style="92" customWidth="1"/>
    <col min="7942" max="7942" width="9" style="92" customWidth="1"/>
    <col min="7943" max="7943" width="14.7109375" style="92" customWidth="1"/>
    <col min="7944" max="7944" width="11.7109375" style="92" customWidth="1"/>
    <col min="7945" max="7945" width="15.140625" style="92" customWidth="1"/>
    <col min="7946" max="7946" width="3.42578125" style="92" customWidth="1"/>
    <col min="7947" max="7949" width="8.42578125" style="92" customWidth="1"/>
    <col min="7950" max="7951" width="13.28515625" style="92" customWidth="1"/>
    <col min="7952" max="7952" width="12.5703125" style="92" customWidth="1"/>
    <col min="7953" max="8192" width="11.7109375" style="92"/>
    <col min="8193" max="8193" width="3.28515625" style="92" customWidth="1"/>
    <col min="8194" max="8194" width="20.5703125" style="92" customWidth="1"/>
    <col min="8195" max="8195" width="13.85546875" style="92" customWidth="1"/>
    <col min="8196" max="8197" width="7.7109375" style="92" customWidth="1"/>
    <col min="8198" max="8198" width="9" style="92" customWidth="1"/>
    <col min="8199" max="8199" width="14.7109375" style="92" customWidth="1"/>
    <col min="8200" max="8200" width="11.7109375" style="92" customWidth="1"/>
    <col min="8201" max="8201" width="15.140625" style="92" customWidth="1"/>
    <col min="8202" max="8202" width="3.42578125" style="92" customWidth="1"/>
    <col min="8203" max="8205" width="8.42578125" style="92" customWidth="1"/>
    <col min="8206" max="8207" width="13.28515625" style="92" customWidth="1"/>
    <col min="8208" max="8208" width="12.5703125" style="92" customWidth="1"/>
    <col min="8209" max="8448" width="11.7109375" style="92"/>
    <col min="8449" max="8449" width="3.28515625" style="92" customWidth="1"/>
    <col min="8450" max="8450" width="20.5703125" style="92" customWidth="1"/>
    <col min="8451" max="8451" width="13.85546875" style="92" customWidth="1"/>
    <col min="8452" max="8453" width="7.7109375" style="92" customWidth="1"/>
    <col min="8454" max="8454" width="9" style="92" customWidth="1"/>
    <col min="8455" max="8455" width="14.7109375" style="92" customWidth="1"/>
    <col min="8456" max="8456" width="11.7109375" style="92" customWidth="1"/>
    <col min="8457" max="8457" width="15.140625" style="92" customWidth="1"/>
    <col min="8458" max="8458" width="3.42578125" style="92" customWidth="1"/>
    <col min="8459" max="8461" width="8.42578125" style="92" customWidth="1"/>
    <col min="8462" max="8463" width="13.28515625" style="92" customWidth="1"/>
    <col min="8464" max="8464" width="12.5703125" style="92" customWidth="1"/>
    <col min="8465" max="8704" width="11.7109375" style="92"/>
    <col min="8705" max="8705" width="3.28515625" style="92" customWidth="1"/>
    <col min="8706" max="8706" width="20.5703125" style="92" customWidth="1"/>
    <col min="8707" max="8707" width="13.85546875" style="92" customWidth="1"/>
    <col min="8708" max="8709" width="7.7109375" style="92" customWidth="1"/>
    <col min="8710" max="8710" width="9" style="92" customWidth="1"/>
    <col min="8711" max="8711" width="14.7109375" style="92" customWidth="1"/>
    <col min="8712" max="8712" width="11.7109375" style="92" customWidth="1"/>
    <col min="8713" max="8713" width="15.140625" style="92" customWidth="1"/>
    <col min="8714" max="8714" width="3.42578125" style="92" customWidth="1"/>
    <col min="8715" max="8717" width="8.42578125" style="92" customWidth="1"/>
    <col min="8718" max="8719" width="13.28515625" style="92" customWidth="1"/>
    <col min="8720" max="8720" width="12.5703125" style="92" customWidth="1"/>
    <col min="8721" max="8960" width="11.7109375" style="92"/>
    <col min="8961" max="8961" width="3.28515625" style="92" customWidth="1"/>
    <col min="8962" max="8962" width="20.5703125" style="92" customWidth="1"/>
    <col min="8963" max="8963" width="13.85546875" style="92" customWidth="1"/>
    <col min="8964" max="8965" width="7.7109375" style="92" customWidth="1"/>
    <col min="8966" max="8966" width="9" style="92" customWidth="1"/>
    <col min="8967" max="8967" width="14.7109375" style="92" customWidth="1"/>
    <col min="8968" max="8968" width="11.7109375" style="92" customWidth="1"/>
    <col min="8969" max="8969" width="15.140625" style="92" customWidth="1"/>
    <col min="8970" max="8970" width="3.42578125" style="92" customWidth="1"/>
    <col min="8971" max="8973" width="8.42578125" style="92" customWidth="1"/>
    <col min="8974" max="8975" width="13.28515625" style="92" customWidth="1"/>
    <col min="8976" max="8976" width="12.5703125" style="92" customWidth="1"/>
    <col min="8977" max="9216" width="11.7109375" style="92"/>
    <col min="9217" max="9217" width="3.28515625" style="92" customWidth="1"/>
    <col min="9218" max="9218" width="20.5703125" style="92" customWidth="1"/>
    <col min="9219" max="9219" width="13.85546875" style="92" customWidth="1"/>
    <col min="9220" max="9221" width="7.7109375" style="92" customWidth="1"/>
    <col min="9222" max="9222" width="9" style="92" customWidth="1"/>
    <col min="9223" max="9223" width="14.7109375" style="92" customWidth="1"/>
    <col min="9224" max="9224" width="11.7109375" style="92" customWidth="1"/>
    <col min="9225" max="9225" width="15.140625" style="92" customWidth="1"/>
    <col min="9226" max="9226" width="3.42578125" style="92" customWidth="1"/>
    <col min="9227" max="9229" width="8.42578125" style="92" customWidth="1"/>
    <col min="9230" max="9231" width="13.28515625" style="92" customWidth="1"/>
    <col min="9232" max="9232" width="12.5703125" style="92" customWidth="1"/>
    <col min="9233" max="9472" width="11.7109375" style="92"/>
    <col min="9473" max="9473" width="3.28515625" style="92" customWidth="1"/>
    <col min="9474" max="9474" width="20.5703125" style="92" customWidth="1"/>
    <col min="9475" max="9475" width="13.85546875" style="92" customWidth="1"/>
    <col min="9476" max="9477" width="7.7109375" style="92" customWidth="1"/>
    <col min="9478" max="9478" width="9" style="92" customWidth="1"/>
    <col min="9479" max="9479" width="14.7109375" style="92" customWidth="1"/>
    <col min="9480" max="9480" width="11.7109375" style="92" customWidth="1"/>
    <col min="9481" max="9481" width="15.140625" style="92" customWidth="1"/>
    <col min="9482" max="9482" width="3.42578125" style="92" customWidth="1"/>
    <col min="9483" max="9485" width="8.42578125" style="92" customWidth="1"/>
    <col min="9486" max="9487" width="13.28515625" style="92" customWidth="1"/>
    <col min="9488" max="9488" width="12.5703125" style="92" customWidth="1"/>
    <col min="9489" max="9728" width="11.7109375" style="92"/>
    <col min="9729" max="9729" width="3.28515625" style="92" customWidth="1"/>
    <col min="9730" max="9730" width="20.5703125" style="92" customWidth="1"/>
    <col min="9731" max="9731" width="13.85546875" style="92" customWidth="1"/>
    <col min="9732" max="9733" width="7.7109375" style="92" customWidth="1"/>
    <col min="9734" max="9734" width="9" style="92" customWidth="1"/>
    <col min="9735" max="9735" width="14.7109375" style="92" customWidth="1"/>
    <col min="9736" max="9736" width="11.7109375" style="92" customWidth="1"/>
    <col min="9737" max="9737" width="15.140625" style="92" customWidth="1"/>
    <col min="9738" max="9738" width="3.42578125" style="92" customWidth="1"/>
    <col min="9739" max="9741" width="8.42578125" style="92" customWidth="1"/>
    <col min="9742" max="9743" width="13.28515625" style="92" customWidth="1"/>
    <col min="9744" max="9744" width="12.5703125" style="92" customWidth="1"/>
    <col min="9745" max="9984" width="11.7109375" style="92"/>
    <col min="9985" max="9985" width="3.28515625" style="92" customWidth="1"/>
    <col min="9986" max="9986" width="20.5703125" style="92" customWidth="1"/>
    <col min="9987" max="9987" width="13.85546875" style="92" customWidth="1"/>
    <col min="9988" max="9989" width="7.7109375" style="92" customWidth="1"/>
    <col min="9990" max="9990" width="9" style="92" customWidth="1"/>
    <col min="9991" max="9991" width="14.7109375" style="92" customWidth="1"/>
    <col min="9992" max="9992" width="11.7109375" style="92" customWidth="1"/>
    <col min="9993" max="9993" width="15.140625" style="92" customWidth="1"/>
    <col min="9994" max="9994" width="3.42578125" style="92" customWidth="1"/>
    <col min="9995" max="9997" width="8.42578125" style="92" customWidth="1"/>
    <col min="9998" max="9999" width="13.28515625" style="92" customWidth="1"/>
    <col min="10000" max="10000" width="12.5703125" style="92" customWidth="1"/>
    <col min="10001" max="10240" width="11.7109375" style="92"/>
    <col min="10241" max="10241" width="3.28515625" style="92" customWidth="1"/>
    <col min="10242" max="10242" width="20.5703125" style="92" customWidth="1"/>
    <col min="10243" max="10243" width="13.85546875" style="92" customWidth="1"/>
    <col min="10244" max="10245" width="7.7109375" style="92" customWidth="1"/>
    <col min="10246" max="10246" width="9" style="92" customWidth="1"/>
    <col min="10247" max="10247" width="14.7109375" style="92" customWidth="1"/>
    <col min="10248" max="10248" width="11.7109375" style="92" customWidth="1"/>
    <col min="10249" max="10249" width="15.140625" style="92" customWidth="1"/>
    <col min="10250" max="10250" width="3.42578125" style="92" customWidth="1"/>
    <col min="10251" max="10253" width="8.42578125" style="92" customWidth="1"/>
    <col min="10254" max="10255" width="13.28515625" style="92" customWidth="1"/>
    <col min="10256" max="10256" width="12.5703125" style="92" customWidth="1"/>
    <col min="10257" max="10496" width="11.7109375" style="92"/>
    <col min="10497" max="10497" width="3.28515625" style="92" customWidth="1"/>
    <col min="10498" max="10498" width="20.5703125" style="92" customWidth="1"/>
    <col min="10499" max="10499" width="13.85546875" style="92" customWidth="1"/>
    <col min="10500" max="10501" width="7.7109375" style="92" customWidth="1"/>
    <col min="10502" max="10502" width="9" style="92" customWidth="1"/>
    <col min="10503" max="10503" width="14.7109375" style="92" customWidth="1"/>
    <col min="10504" max="10504" width="11.7109375" style="92" customWidth="1"/>
    <col min="10505" max="10505" width="15.140625" style="92" customWidth="1"/>
    <col min="10506" max="10506" width="3.42578125" style="92" customWidth="1"/>
    <col min="10507" max="10509" width="8.42578125" style="92" customWidth="1"/>
    <col min="10510" max="10511" width="13.28515625" style="92" customWidth="1"/>
    <col min="10512" max="10512" width="12.5703125" style="92" customWidth="1"/>
    <col min="10513" max="10752" width="11.7109375" style="92"/>
    <col min="10753" max="10753" width="3.28515625" style="92" customWidth="1"/>
    <col min="10754" max="10754" width="20.5703125" style="92" customWidth="1"/>
    <col min="10755" max="10755" width="13.85546875" style="92" customWidth="1"/>
    <col min="10756" max="10757" width="7.7109375" style="92" customWidth="1"/>
    <col min="10758" max="10758" width="9" style="92" customWidth="1"/>
    <col min="10759" max="10759" width="14.7109375" style="92" customWidth="1"/>
    <col min="10760" max="10760" width="11.7109375" style="92" customWidth="1"/>
    <col min="10761" max="10761" width="15.140625" style="92" customWidth="1"/>
    <col min="10762" max="10762" width="3.42578125" style="92" customWidth="1"/>
    <col min="10763" max="10765" width="8.42578125" style="92" customWidth="1"/>
    <col min="10766" max="10767" width="13.28515625" style="92" customWidth="1"/>
    <col min="10768" max="10768" width="12.5703125" style="92" customWidth="1"/>
    <col min="10769" max="11008" width="11.7109375" style="92"/>
    <col min="11009" max="11009" width="3.28515625" style="92" customWidth="1"/>
    <col min="11010" max="11010" width="20.5703125" style="92" customWidth="1"/>
    <col min="11011" max="11011" width="13.85546875" style="92" customWidth="1"/>
    <col min="11012" max="11013" width="7.7109375" style="92" customWidth="1"/>
    <col min="11014" max="11014" width="9" style="92" customWidth="1"/>
    <col min="11015" max="11015" width="14.7109375" style="92" customWidth="1"/>
    <col min="11016" max="11016" width="11.7109375" style="92" customWidth="1"/>
    <col min="11017" max="11017" width="15.140625" style="92" customWidth="1"/>
    <col min="11018" max="11018" width="3.42578125" style="92" customWidth="1"/>
    <col min="11019" max="11021" width="8.42578125" style="92" customWidth="1"/>
    <col min="11022" max="11023" width="13.28515625" style="92" customWidth="1"/>
    <col min="11024" max="11024" width="12.5703125" style="92" customWidth="1"/>
    <col min="11025" max="11264" width="11.7109375" style="92"/>
    <col min="11265" max="11265" width="3.28515625" style="92" customWidth="1"/>
    <col min="11266" max="11266" width="20.5703125" style="92" customWidth="1"/>
    <col min="11267" max="11267" width="13.85546875" style="92" customWidth="1"/>
    <col min="11268" max="11269" width="7.7109375" style="92" customWidth="1"/>
    <col min="11270" max="11270" width="9" style="92" customWidth="1"/>
    <col min="11271" max="11271" width="14.7109375" style="92" customWidth="1"/>
    <col min="11272" max="11272" width="11.7109375" style="92" customWidth="1"/>
    <col min="11273" max="11273" width="15.140625" style="92" customWidth="1"/>
    <col min="11274" max="11274" width="3.42578125" style="92" customWidth="1"/>
    <col min="11275" max="11277" width="8.42578125" style="92" customWidth="1"/>
    <col min="11278" max="11279" width="13.28515625" style="92" customWidth="1"/>
    <col min="11280" max="11280" width="12.5703125" style="92" customWidth="1"/>
    <col min="11281" max="11520" width="11.7109375" style="92"/>
    <col min="11521" max="11521" width="3.28515625" style="92" customWidth="1"/>
    <col min="11522" max="11522" width="20.5703125" style="92" customWidth="1"/>
    <col min="11523" max="11523" width="13.85546875" style="92" customWidth="1"/>
    <col min="11524" max="11525" width="7.7109375" style="92" customWidth="1"/>
    <col min="11526" max="11526" width="9" style="92" customWidth="1"/>
    <col min="11527" max="11527" width="14.7109375" style="92" customWidth="1"/>
    <col min="11528" max="11528" width="11.7109375" style="92" customWidth="1"/>
    <col min="11529" max="11529" width="15.140625" style="92" customWidth="1"/>
    <col min="11530" max="11530" width="3.42578125" style="92" customWidth="1"/>
    <col min="11531" max="11533" width="8.42578125" style="92" customWidth="1"/>
    <col min="11534" max="11535" width="13.28515625" style="92" customWidth="1"/>
    <col min="11536" max="11536" width="12.5703125" style="92" customWidth="1"/>
    <col min="11537" max="11776" width="11.7109375" style="92"/>
    <col min="11777" max="11777" width="3.28515625" style="92" customWidth="1"/>
    <col min="11778" max="11778" width="20.5703125" style="92" customWidth="1"/>
    <col min="11779" max="11779" width="13.85546875" style="92" customWidth="1"/>
    <col min="11780" max="11781" width="7.7109375" style="92" customWidth="1"/>
    <col min="11782" max="11782" width="9" style="92" customWidth="1"/>
    <col min="11783" max="11783" width="14.7109375" style="92" customWidth="1"/>
    <col min="11784" max="11784" width="11.7109375" style="92" customWidth="1"/>
    <col min="11785" max="11785" width="15.140625" style="92" customWidth="1"/>
    <col min="11786" max="11786" width="3.42578125" style="92" customWidth="1"/>
    <col min="11787" max="11789" width="8.42578125" style="92" customWidth="1"/>
    <col min="11790" max="11791" width="13.28515625" style="92" customWidth="1"/>
    <col min="11792" max="11792" width="12.5703125" style="92" customWidth="1"/>
    <col min="11793" max="12032" width="11.7109375" style="92"/>
    <col min="12033" max="12033" width="3.28515625" style="92" customWidth="1"/>
    <col min="12034" max="12034" width="20.5703125" style="92" customWidth="1"/>
    <col min="12035" max="12035" width="13.85546875" style="92" customWidth="1"/>
    <col min="12036" max="12037" width="7.7109375" style="92" customWidth="1"/>
    <col min="12038" max="12038" width="9" style="92" customWidth="1"/>
    <col min="12039" max="12039" width="14.7109375" style="92" customWidth="1"/>
    <col min="12040" max="12040" width="11.7109375" style="92" customWidth="1"/>
    <col min="12041" max="12041" width="15.140625" style="92" customWidth="1"/>
    <col min="12042" max="12042" width="3.42578125" style="92" customWidth="1"/>
    <col min="12043" max="12045" width="8.42578125" style="92" customWidth="1"/>
    <col min="12046" max="12047" width="13.28515625" style="92" customWidth="1"/>
    <col min="12048" max="12048" width="12.5703125" style="92" customWidth="1"/>
    <col min="12049" max="12288" width="11.7109375" style="92"/>
    <col min="12289" max="12289" width="3.28515625" style="92" customWidth="1"/>
    <col min="12290" max="12290" width="20.5703125" style="92" customWidth="1"/>
    <col min="12291" max="12291" width="13.85546875" style="92" customWidth="1"/>
    <col min="12292" max="12293" width="7.7109375" style="92" customWidth="1"/>
    <col min="12294" max="12294" width="9" style="92" customWidth="1"/>
    <col min="12295" max="12295" width="14.7109375" style="92" customWidth="1"/>
    <col min="12296" max="12296" width="11.7109375" style="92" customWidth="1"/>
    <col min="12297" max="12297" width="15.140625" style="92" customWidth="1"/>
    <col min="12298" max="12298" width="3.42578125" style="92" customWidth="1"/>
    <col min="12299" max="12301" width="8.42578125" style="92" customWidth="1"/>
    <col min="12302" max="12303" width="13.28515625" style="92" customWidth="1"/>
    <col min="12304" max="12304" width="12.5703125" style="92" customWidth="1"/>
    <col min="12305" max="12544" width="11.7109375" style="92"/>
    <col min="12545" max="12545" width="3.28515625" style="92" customWidth="1"/>
    <col min="12546" max="12546" width="20.5703125" style="92" customWidth="1"/>
    <col min="12547" max="12547" width="13.85546875" style="92" customWidth="1"/>
    <col min="12548" max="12549" width="7.7109375" style="92" customWidth="1"/>
    <col min="12550" max="12550" width="9" style="92" customWidth="1"/>
    <col min="12551" max="12551" width="14.7109375" style="92" customWidth="1"/>
    <col min="12552" max="12552" width="11.7109375" style="92" customWidth="1"/>
    <col min="12553" max="12553" width="15.140625" style="92" customWidth="1"/>
    <col min="12554" max="12554" width="3.42578125" style="92" customWidth="1"/>
    <col min="12555" max="12557" width="8.42578125" style="92" customWidth="1"/>
    <col min="12558" max="12559" width="13.28515625" style="92" customWidth="1"/>
    <col min="12560" max="12560" width="12.5703125" style="92" customWidth="1"/>
    <col min="12561" max="12800" width="11.7109375" style="92"/>
    <col min="12801" max="12801" width="3.28515625" style="92" customWidth="1"/>
    <col min="12802" max="12802" width="20.5703125" style="92" customWidth="1"/>
    <col min="12803" max="12803" width="13.85546875" style="92" customWidth="1"/>
    <col min="12804" max="12805" width="7.7109375" style="92" customWidth="1"/>
    <col min="12806" max="12806" width="9" style="92" customWidth="1"/>
    <col min="12807" max="12807" width="14.7109375" style="92" customWidth="1"/>
    <col min="12808" max="12808" width="11.7109375" style="92" customWidth="1"/>
    <col min="12809" max="12809" width="15.140625" style="92" customWidth="1"/>
    <col min="12810" max="12810" width="3.42578125" style="92" customWidth="1"/>
    <col min="12811" max="12813" width="8.42578125" style="92" customWidth="1"/>
    <col min="12814" max="12815" width="13.28515625" style="92" customWidth="1"/>
    <col min="12816" max="12816" width="12.5703125" style="92" customWidth="1"/>
    <col min="12817" max="13056" width="11.7109375" style="92"/>
    <col min="13057" max="13057" width="3.28515625" style="92" customWidth="1"/>
    <col min="13058" max="13058" width="20.5703125" style="92" customWidth="1"/>
    <col min="13059" max="13059" width="13.85546875" style="92" customWidth="1"/>
    <col min="13060" max="13061" width="7.7109375" style="92" customWidth="1"/>
    <col min="13062" max="13062" width="9" style="92" customWidth="1"/>
    <col min="13063" max="13063" width="14.7109375" style="92" customWidth="1"/>
    <col min="13064" max="13064" width="11.7109375" style="92" customWidth="1"/>
    <col min="13065" max="13065" width="15.140625" style="92" customWidth="1"/>
    <col min="13066" max="13066" width="3.42578125" style="92" customWidth="1"/>
    <col min="13067" max="13069" width="8.42578125" style="92" customWidth="1"/>
    <col min="13070" max="13071" width="13.28515625" style="92" customWidth="1"/>
    <col min="13072" max="13072" width="12.5703125" style="92" customWidth="1"/>
    <col min="13073" max="13312" width="11.7109375" style="92"/>
    <col min="13313" max="13313" width="3.28515625" style="92" customWidth="1"/>
    <col min="13314" max="13314" width="20.5703125" style="92" customWidth="1"/>
    <col min="13315" max="13315" width="13.85546875" style="92" customWidth="1"/>
    <col min="13316" max="13317" width="7.7109375" style="92" customWidth="1"/>
    <col min="13318" max="13318" width="9" style="92" customWidth="1"/>
    <col min="13319" max="13319" width="14.7109375" style="92" customWidth="1"/>
    <col min="13320" max="13320" width="11.7109375" style="92" customWidth="1"/>
    <col min="13321" max="13321" width="15.140625" style="92" customWidth="1"/>
    <col min="13322" max="13322" width="3.42578125" style="92" customWidth="1"/>
    <col min="13323" max="13325" width="8.42578125" style="92" customWidth="1"/>
    <col min="13326" max="13327" width="13.28515625" style="92" customWidth="1"/>
    <col min="13328" max="13328" width="12.5703125" style="92" customWidth="1"/>
    <col min="13329" max="13568" width="11.7109375" style="92"/>
    <col min="13569" max="13569" width="3.28515625" style="92" customWidth="1"/>
    <col min="13570" max="13570" width="20.5703125" style="92" customWidth="1"/>
    <col min="13571" max="13571" width="13.85546875" style="92" customWidth="1"/>
    <col min="13572" max="13573" width="7.7109375" style="92" customWidth="1"/>
    <col min="13574" max="13574" width="9" style="92" customWidth="1"/>
    <col min="13575" max="13575" width="14.7109375" style="92" customWidth="1"/>
    <col min="13576" max="13576" width="11.7109375" style="92" customWidth="1"/>
    <col min="13577" max="13577" width="15.140625" style="92" customWidth="1"/>
    <col min="13578" max="13578" width="3.42578125" style="92" customWidth="1"/>
    <col min="13579" max="13581" width="8.42578125" style="92" customWidth="1"/>
    <col min="13582" max="13583" width="13.28515625" style="92" customWidth="1"/>
    <col min="13584" max="13584" width="12.5703125" style="92" customWidth="1"/>
    <col min="13585" max="13824" width="11.7109375" style="92"/>
    <col min="13825" max="13825" width="3.28515625" style="92" customWidth="1"/>
    <col min="13826" max="13826" width="20.5703125" style="92" customWidth="1"/>
    <col min="13827" max="13827" width="13.85546875" style="92" customWidth="1"/>
    <col min="13828" max="13829" width="7.7109375" style="92" customWidth="1"/>
    <col min="13830" max="13830" width="9" style="92" customWidth="1"/>
    <col min="13831" max="13831" width="14.7109375" style="92" customWidth="1"/>
    <col min="13832" max="13832" width="11.7109375" style="92" customWidth="1"/>
    <col min="13833" max="13833" width="15.140625" style="92" customWidth="1"/>
    <col min="13834" max="13834" width="3.42578125" style="92" customWidth="1"/>
    <col min="13835" max="13837" width="8.42578125" style="92" customWidth="1"/>
    <col min="13838" max="13839" width="13.28515625" style="92" customWidth="1"/>
    <col min="13840" max="13840" width="12.5703125" style="92" customWidth="1"/>
    <col min="13841" max="14080" width="11.7109375" style="92"/>
    <col min="14081" max="14081" width="3.28515625" style="92" customWidth="1"/>
    <col min="14082" max="14082" width="20.5703125" style="92" customWidth="1"/>
    <col min="14083" max="14083" width="13.85546875" style="92" customWidth="1"/>
    <col min="14084" max="14085" width="7.7109375" style="92" customWidth="1"/>
    <col min="14086" max="14086" width="9" style="92" customWidth="1"/>
    <col min="14087" max="14087" width="14.7109375" style="92" customWidth="1"/>
    <col min="14088" max="14088" width="11.7109375" style="92" customWidth="1"/>
    <col min="14089" max="14089" width="15.140625" style="92" customWidth="1"/>
    <col min="14090" max="14090" width="3.42578125" style="92" customWidth="1"/>
    <col min="14091" max="14093" width="8.42578125" style="92" customWidth="1"/>
    <col min="14094" max="14095" width="13.28515625" style="92" customWidth="1"/>
    <col min="14096" max="14096" width="12.5703125" style="92" customWidth="1"/>
    <col min="14097" max="14336" width="11.7109375" style="92"/>
    <col min="14337" max="14337" width="3.28515625" style="92" customWidth="1"/>
    <col min="14338" max="14338" width="20.5703125" style="92" customWidth="1"/>
    <col min="14339" max="14339" width="13.85546875" style="92" customWidth="1"/>
    <col min="14340" max="14341" width="7.7109375" style="92" customWidth="1"/>
    <col min="14342" max="14342" width="9" style="92" customWidth="1"/>
    <col min="14343" max="14343" width="14.7109375" style="92" customWidth="1"/>
    <col min="14344" max="14344" width="11.7109375" style="92" customWidth="1"/>
    <col min="14345" max="14345" width="15.140625" style="92" customWidth="1"/>
    <col min="14346" max="14346" width="3.42578125" style="92" customWidth="1"/>
    <col min="14347" max="14349" width="8.42578125" style="92" customWidth="1"/>
    <col min="14350" max="14351" width="13.28515625" style="92" customWidth="1"/>
    <col min="14352" max="14352" width="12.5703125" style="92" customWidth="1"/>
    <col min="14353" max="14592" width="11.7109375" style="92"/>
    <col min="14593" max="14593" width="3.28515625" style="92" customWidth="1"/>
    <col min="14594" max="14594" width="20.5703125" style="92" customWidth="1"/>
    <col min="14595" max="14595" width="13.85546875" style="92" customWidth="1"/>
    <col min="14596" max="14597" width="7.7109375" style="92" customWidth="1"/>
    <col min="14598" max="14598" width="9" style="92" customWidth="1"/>
    <col min="14599" max="14599" width="14.7109375" style="92" customWidth="1"/>
    <col min="14600" max="14600" width="11.7109375" style="92" customWidth="1"/>
    <col min="14601" max="14601" width="15.140625" style="92" customWidth="1"/>
    <col min="14602" max="14602" width="3.42578125" style="92" customWidth="1"/>
    <col min="14603" max="14605" width="8.42578125" style="92" customWidth="1"/>
    <col min="14606" max="14607" width="13.28515625" style="92" customWidth="1"/>
    <col min="14608" max="14608" width="12.5703125" style="92" customWidth="1"/>
    <col min="14609" max="14848" width="11.7109375" style="92"/>
    <col min="14849" max="14849" width="3.28515625" style="92" customWidth="1"/>
    <col min="14850" max="14850" width="20.5703125" style="92" customWidth="1"/>
    <col min="14851" max="14851" width="13.85546875" style="92" customWidth="1"/>
    <col min="14852" max="14853" width="7.7109375" style="92" customWidth="1"/>
    <col min="14854" max="14854" width="9" style="92" customWidth="1"/>
    <col min="14855" max="14855" width="14.7109375" style="92" customWidth="1"/>
    <col min="14856" max="14856" width="11.7109375" style="92" customWidth="1"/>
    <col min="14857" max="14857" width="15.140625" style="92" customWidth="1"/>
    <col min="14858" max="14858" width="3.42578125" style="92" customWidth="1"/>
    <col min="14859" max="14861" width="8.42578125" style="92" customWidth="1"/>
    <col min="14862" max="14863" width="13.28515625" style="92" customWidth="1"/>
    <col min="14864" max="14864" width="12.5703125" style="92" customWidth="1"/>
    <col min="14865" max="15104" width="11.7109375" style="92"/>
    <col min="15105" max="15105" width="3.28515625" style="92" customWidth="1"/>
    <col min="15106" max="15106" width="20.5703125" style="92" customWidth="1"/>
    <col min="15107" max="15107" width="13.85546875" style="92" customWidth="1"/>
    <col min="15108" max="15109" width="7.7109375" style="92" customWidth="1"/>
    <col min="15110" max="15110" width="9" style="92" customWidth="1"/>
    <col min="15111" max="15111" width="14.7109375" style="92" customWidth="1"/>
    <col min="15112" max="15112" width="11.7109375" style="92" customWidth="1"/>
    <col min="15113" max="15113" width="15.140625" style="92" customWidth="1"/>
    <col min="15114" max="15114" width="3.42578125" style="92" customWidth="1"/>
    <col min="15115" max="15117" width="8.42578125" style="92" customWidth="1"/>
    <col min="15118" max="15119" width="13.28515625" style="92" customWidth="1"/>
    <col min="15120" max="15120" width="12.5703125" style="92" customWidth="1"/>
    <col min="15121" max="15360" width="11.7109375" style="92"/>
    <col min="15361" max="15361" width="3.28515625" style="92" customWidth="1"/>
    <col min="15362" max="15362" width="20.5703125" style="92" customWidth="1"/>
    <col min="15363" max="15363" width="13.85546875" style="92" customWidth="1"/>
    <col min="15364" max="15365" width="7.7109375" style="92" customWidth="1"/>
    <col min="15366" max="15366" width="9" style="92" customWidth="1"/>
    <col min="15367" max="15367" width="14.7109375" style="92" customWidth="1"/>
    <col min="15368" max="15368" width="11.7109375" style="92" customWidth="1"/>
    <col min="15369" max="15369" width="15.140625" style="92" customWidth="1"/>
    <col min="15370" max="15370" width="3.42578125" style="92" customWidth="1"/>
    <col min="15371" max="15373" width="8.42578125" style="92" customWidth="1"/>
    <col min="15374" max="15375" width="13.28515625" style="92" customWidth="1"/>
    <col min="15376" max="15376" width="12.5703125" style="92" customWidth="1"/>
    <col min="15377" max="15616" width="11.7109375" style="92"/>
    <col min="15617" max="15617" width="3.28515625" style="92" customWidth="1"/>
    <col min="15618" max="15618" width="20.5703125" style="92" customWidth="1"/>
    <col min="15619" max="15619" width="13.85546875" style="92" customWidth="1"/>
    <col min="15620" max="15621" width="7.7109375" style="92" customWidth="1"/>
    <col min="15622" max="15622" width="9" style="92" customWidth="1"/>
    <col min="15623" max="15623" width="14.7109375" style="92" customWidth="1"/>
    <col min="15624" max="15624" width="11.7109375" style="92" customWidth="1"/>
    <col min="15625" max="15625" width="15.140625" style="92" customWidth="1"/>
    <col min="15626" max="15626" width="3.42578125" style="92" customWidth="1"/>
    <col min="15627" max="15629" width="8.42578125" style="92" customWidth="1"/>
    <col min="15630" max="15631" width="13.28515625" style="92" customWidth="1"/>
    <col min="15632" max="15632" width="12.5703125" style="92" customWidth="1"/>
    <col min="15633" max="15872" width="11.7109375" style="92"/>
    <col min="15873" max="15873" width="3.28515625" style="92" customWidth="1"/>
    <col min="15874" max="15874" width="20.5703125" style="92" customWidth="1"/>
    <col min="15875" max="15875" width="13.85546875" style="92" customWidth="1"/>
    <col min="15876" max="15877" width="7.7109375" style="92" customWidth="1"/>
    <col min="15878" max="15878" width="9" style="92" customWidth="1"/>
    <col min="15879" max="15879" width="14.7109375" style="92" customWidth="1"/>
    <col min="15880" max="15880" width="11.7109375" style="92" customWidth="1"/>
    <col min="15881" max="15881" width="15.140625" style="92" customWidth="1"/>
    <col min="15882" max="15882" width="3.42578125" style="92" customWidth="1"/>
    <col min="15883" max="15885" width="8.42578125" style="92" customWidth="1"/>
    <col min="15886" max="15887" width="13.28515625" style="92" customWidth="1"/>
    <col min="15888" max="15888" width="12.5703125" style="92" customWidth="1"/>
    <col min="15889" max="16128" width="11.7109375" style="92"/>
    <col min="16129" max="16129" width="3.28515625" style="92" customWidth="1"/>
    <col min="16130" max="16130" width="20.5703125" style="92" customWidth="1"/>
    <col min="16131" max="16131" width="13.85546875" style="92" customWidth="1"/>
    <col min="16132" max="16133" width="7.7109375" style="92" customWidth="1"/>
    <col min="16134" max="16134" width="9" style="92" customWidth="1"/>
    <col min="16135" max="16135" width="14.7109375" style="92" customWidth="1"/>
    <col min="16136" max="16136" width="11.7109375" style="92" customWidth="1"/>
    <col min="16137" max="16137" width="15.140625" style="92" customWidth="1"/>
    <col min="16138" max="16138" width="3.42578125" style="92" customWidth="1"/>
    <col min="16139" max="16141" width="8.42578125" style="92" customWidth="1"/>
    <col min="16142" max="16143" width="13.28515625" style="92" customWidth="1"/>
    <col min="16144" max="16144" width="12.5703125" style="92" customWidth="1"/>
    <col min="16145" max="16384" width="11.7109375" style="92"/>
  </cols>
  <sheetData>
    <row r="2" spans="2:15" ht="20.25" x14ac:dyDescent="0.3">
      <c r="B2" s="90" t="s">
        <v>92</v>
      </c>
      <c r="C2" s="91"/>
      <c r="D2" s="91"/>
    </row>
    <row r="3" spans="2:15" ht="24" customHeight="1" thickBot="1" x14ac:dyDescent="0.35">
      <c r="B3" s="93"/>
      <c r="L3" s="6"/>
      <c r="M3" s="6" t="s">
        <v>0</v>
      </c>
      <c r="O3" s="122" t="s">
        <v>2</v>
      </c>
    </row>
    <row r="4" spans="2:15" ht="28.5" customHeight="1" thickBot="1" x14ac:dyDescent="0.35">
      <c r="B4" s="94" t="s">
        <v>93</v>
      </c>
      <c r="C4" s="95"/>
      <c r="D4" s="95"/>
      <c r="E4" s="95"/>
      <c r="F4" s="95"/>
      <c r="G4" s="95"/>
      <c r="H4" s="95"/>
      <c r="I4" s="96" t="s">
        <v>94</v>
      </c>
      <c r="M4" s="7" t="s">
        <v>127</v>
      </c>
      <c r="O4" s="7" t="s">
        <v>128</v>
      </c>
    </row>
    <row r="5" spans="2:15" ht="25.5" customHeight="1" x14ac:dyDescent="0.3">
      <c r="B5" s="368" t="s">
        <v>95</v>
      </c>
      <c r="C5" s="412" t="s">
        <v>5</v>
      </c>
      <c r="D5" s="372" t="s">
        <v>96</v>
      </c>
      <c r="E5" s="414"/>
      <c r="F5" s="414"/>
      <c r="G5" s="97" t="s">
        <v>97</v>
      </c>
      <c r="H5" s="98" t="s">
        <v>98</v>
      </c>
      <c r="I5" s="377">
        <f>IF(AND(G6&gt;0,H6&gt;0),(H6*G6*0.85)/1000,0)</f>
        <v>0</v>
      </c>
    </row>
    <row r="6" spans="2:15" ht="15" thickBot="1" x14ac:dyDescent="0.35">
      <c r="B6" s="420"/>
      <c r="C6" s="413"/>
      <c r="D6" s="416">
        <v>1.5</v>
      </c>
      <c r="E6" s="417"/>
      <c r="F6" s="417"/>
      <c r="G6" s="99">
        <f>IF(D6&gt;0,(130*(D6*D6))/0.85,"")</f>
        <v>344.11764705882354</v>
      </c>
      <c r="H6" s="100">
        <v>0</v>
      </c>
      <c r="I6" s="415"/>
    </row>
    <row r="7" spans="2:15" ht="25.5" x14ac:dyDescent="0.3">
      <c r="B7" s="420"/>
      <c r="C7" s="418" t="s">
        <v>99</v>
      </c>
      <c r="D7" s="404" t="s">
        <v>100</v>
      </c>
      <c r="E7" s="405"/>
      <c r="F7" s="406"/>
      <c r="G7" s="97" t="s">
        <v>97</v>
      </c>
      <c r="H7" s="101" t="s">
        <v>98</v>
      </c>
      <c r="I7" s="377">
        <f>IF(AND(G8&gt;0,H8&gt;0),(H8*G8*0.85)/1000,0)</f>
        <v>0</v>
      </c>
    </row>
    <row r="8" spans="2:15" ht="15" thickBot="1" x14ac:dyDescent="0.35">
      <c r="B8" s="370"/>
      <c r="C8" s="419"/>
      <c r="D8" s="102">
        <v>0</v>
      </c>
      <c r="E8" s="103">
        <v>0</v>
      </c>
      <c r="F8" s="104">
        <v>0</v>
      </c>
      <c r="G8" s="105" t="str">
        <f>IF(AND(D8&gt;0,E8&gt;0,F8&gt;0),(130*(D8*E8*F8))/0.85,"")</f>
        <v/>
      </c>
      <c r="H8" s="106">
        <v>0</v>
      </c>
      <c r="I8" s="415"/>
      <c r="M8" s="5" t="s">
        <v>1</v>
      </c>
    </row>
    <row r="9" spans="2:15" ht="26.25" thickBot="1" x14ac:dyDescent="0.35">
      <c r="B9" s="368" t="s">
        <v>101</v>
      </c>
      <c r="C9" s="412" t="s">
        <v>5</v>
      </c>
      <c r="D9" s="372" t="s">
        <v>96</v>
      </c>
      <c r="E9" s="414"/>
      <c r="F9" s="414"/>
      <c r="G9" s="97" t="s">
        <v>97</v>
      </c>
      <c r="H9" s="98" t="s">
        <v>98</v>
      </c>
      <c r="I9" s="377">
        <f>IF(AND(G10&gt;0,H10&gt;0),(H10*G10*0.9)/1000,0)</f>
        <v>0</v>
      </c>
      <c r="M9" s="7" t="s">
        <v>129</v>
      </c>
    </row>
    <row r="10" spans="2:15" ht="15" thickBot="1" x14ac:dyDescent="0.35">
      <c r="B10" s="410"/>
      <c r="C10" s="413"/>
      <c r="D10" s="416">
        <v>1.5</v>
      </c>
      <c r="E10" s="417"/>
      <c r="F10" s="417"/>
      <c r="G10" s="99">
        <f>IF(D10&gt;0,85*(D10*D10),"")</f>
        <v>191.25</v>
      </c>
      <c r="H10" s="100">
        <v>0</v>
      </c>
      <c r="I10" s="415"/>
    </row>
    <row r="11" spans="2:15" ht="25.5" x14ac:dyDescent="0.3">
      <c r="B11" s="410"/>
      <c r="C11" s="418" t="s">
        <v>99</v>
      </c>
      <c r="D11" s="404" t="s">
        <v>100</v>
      </c>
      <c r="E11" s="405"/>
      <c r="F11" s="406"/>
      <c r="G11" s="97" t="s">
        <v>97</v>
      </c>
      <c r="H11" s="101" t="s">
        <v>98</v>
      </c>
      <c r="I11" s="377">
        <f>IF(AND(G12&gt;0,H12&gt;0),(H12*G12*0.9)/1000,0)</f>
        <v>0</v>
      </c>
    </row>
    <row r="12" spans="2:15" ht="15" thickBot="1" x14ac:dyDescent="0.35">
      <c r="B12" s="411"/>
      <c r="C12" s="419"/>
      <c r="D12" s="102">
        <v>0</v>
      </c>
      <c r="E12" s="103">
        <v>0</v>
      </c>
      <c r="F12" s="104">
        <v>0</v>
      </c>
      <c r="G12" s="105" t="str">
        <f>IF(AND(D12&gt;0,E12&gt;0,F12&gt;0),(90*(D12*E12*F12))/0.9,"")</f>
        <v/>
      </c>
      <c r="H12" s="106">
        <v>0</v>
      </c>
      <c r="I12" s="415"/>
    </row>
    <row r="13" spans="2:15" ht="26.25" customHeight="1" x14ac:dyDescent="0.3">
      <c r="B13" s="368" t="s">
        <v>102</v>
      </c>
      <c r="C13" s="369"/>
      <c r="D13" s="372" t="s">
        <v>103</v>
      </c>
      <c r="E13" s="373"/>
      <c r="F13" s="374"/>
      <c r="G13" s="97" t="s">
        <v>97</v>
      </c>
      <c r="H13" s="98" t="s">
        <v>98</v>
      </c>
      <c r="I13" s="377">
        <f>((G14*(D14/100))*H14)/1000</f>
        <v>0</v>
      </c>
    </row>
    <row r="14" spans="2:15" ht="15" customHeight="1" thickBot="1" x14ac:dyDescent="0.35">
      <c r="B14" s="370"/>
      <c r="C14" s="371"/>
      <c r="D14" s="408">
        <v>60</v>
      </c>
      <c r="E14" s="409"/>
      <c r="F14" s="409"/>
      <c r="G14" s="107">
        <v>0</v>
      </c>
      <c r="H14" s="108">
        <v>0</v>
      </c>
      <c r="I14" s="407"/>
    </row>
    <row r="15" spans="2:15" ht="15" customHeight="1" x14ac:dyDescent="0.3">
      <c r="B15" s="384" t="s">
        <v>104</v>
      </c>
      <c r="C15" s="385"/>
      <c r="D15" s="404" t="s">
        <v>105</v>
      </c>
      <c r="E15" s="405"/>
      <c r="F15" s="406"/>
      <c r="G15" s="372" t="s">
        <v>103</v>
      </c>
      <c r="H15" s="374"/>
      <c r="I15" s="377">
        <f>IF(AND(D16&gt;0,E16&gt;0,F16&gt;0,G16&gt;0),(((2*G16)+(30*D16)+60)*((D16*E16*F16)*0.95)/1000),0)</f>
        <v>0</v>
      </c>
    </row>
    <row r="16" spans="2:15" ht="18" customHeight="1" thickBot="1" x14ac:dyDescent="0.35">
      <c r="B16" s="386"/>
      <c r="C16" s="387"/>
      <c r="D16" s="109">
        <v>0</v>
      </c>
      <c r="E16" s="110">
        <v>0</v>
      </c>
      <c r="F16" s="111">
        <v>0</v>
      </c>
      <c r="G16" s="402">
        <v>30</v>
      </c>
      <c r="H16" s="403"/>
      <c r="I16" s="378"/>
    </row>
    <row r="17" spans="2:19" ht="14.25" customHeight="1" x14ac:dyDescent="0.3">
      <c r="B17" s="384" t="s">
        <v>106</v>
      </c>
      <c r="C17" s="385"/>
      <c r="D17" s="404" t="s">
        <v>100</v>
      </c>
      <c r="E17" s="405"/>
      <c r="F17" s="406"/>
      <c r="G17" s="372" t="s">
        <v>103</v>
      </c>
      <c r="H17" s="374"/>
      <c r="I17" s="377">
        <f>IF(AND(D18&gt;0,E18&gt;0,F18&gt;0,G18&gt;0),(((5*G18)+(15*D18)+35)*((D18*E18*F18)*0.95)/1000),0)</f>
        <v>0</v>
      </c>
    </row>
    <row r="18" spans="2:19" ht="15" thickBot="1" x14ac:dyDescent="0.35">
      <c r="B18" s="386"/>
      <c r="C18" s="387"/>
      <c r="D18" s="109">
        <v>0</v>
      </c>
      <c r="E18" s="110">
        <v>0</v>
      </c>
      <c r="F18" s="111">
        <v>0</v>
      </c>
      <c r="G18" s="402">
        <v>32</v>
      </c>
      <c r="H18" s="403"/>
      <c r="I18" s="378"/>
    </row>
    <row r="19" spans="2:19" ht="14.25" customHeight="1" x14ac:dyDescent="0.3">
      <c r="B19" s="384" t="s">
        <v>107</v>
      </c>
      <c r="C19" s="385"/>
      <c r="D19" s="404" t="s">
        <v>100</v>
      </c>
      <c r="E19" s="405"/>
      <c r="F19" s="406"/>
      <c r="G19" s="372" t="s">
        <v>103</v>
      </c>
      <c r="H19" s="374"/>
      <c r="I19" s="377">
        <f>IF(AND(D20&gt;0,E20&gt;0,F20&gt;0,G20&gt;0),((((5*G20)+(15*D20)+35)*1.2)*((D20*E20*F20)*0.95)/1000),0)</f>
        <v>0</v>
      </c>
    </row>
    <row r="20" spans="2:19" ht="15" thickBot="1" x14ac:dyDescent="0.35">
      <c r="B20" s="386"/>
      <c r="C20" s="387"/>
      <c r="D20" s="109">
        <v>0</v>
      </c>
      <c r="E20" s="110">
        <v>0</v>
      </c>
      <c r="F20" s="111">
        <v>0</v>
      </c>
      <c r="G20" s="402">
        <v>32</v>
      </c>
      <c r="H20" s="403"/>
      <c r="I20" s="378"/>
    </row>
    <row r="21" spans="2:19" ht="25.5" x14ac:dyDescent="0.3">
      <c r="B21" s="392" t="s">
        <v>108</v>
      </c>
      <c r="C21" s="393"/>
      <c r="D21" s="396" t="s">
        <v>103</v>
      </c>
      <c r="E21" s="397"/>
      <c r="F21" s="398"/>
      <c r="G21" s="97" t="s">
        <v>97</v>
      </c>
      <c r="H21" s="98" t="s">
        <v>98</v>
      </c>
      <c r="I21" s="399">
        <f>((G22*(D22/100))*H22)/1000</f>
        <v>0</v>
      </c>
    </row>
    <row r="22" spans="2:19" ht="15" thickBot="1" x14ac:dyDescent="0.35">
      <c r="B22" s="394"/>
      <c r="C22" s="395"/>
      <c r="D22" s="401"/>
      <c r="E22" s="402"/>
      <c r="F22" s="403"/>
      <c r="G22" s="112"/>
      <c r="H22" s="113"/>
      <c r="I22" s="400"/>
    </row>
    <row r="23" spans="2:19" ht="21.75" customHeight="1" x14ac:dyDescent="0.3">
      <c r="B23" s="392" t="s">
        <v>109</v>
      </c>
      <c r="C23" s="393"/>
      <c r="D23" s="396" t="s">
        <v>110</v>
      </c>
      <c r="E23" s="397"/>
      <c r="F23" s="398"/>
      <c r="G23" s="397" t="s">
        <v>111</v>
      </c>
      <c r="H23" s="398"/>
      <c r="I23" s="399">
        <f>((D24*G24)*0.95)/1000</f>
        <v>0</v>
      </c>
    </row>
    <row r="24" spans="2:19" ht="15" thickBot="1" x14ac:dyDescent="0.35">
      <c r="B24" s="394"/>
      <c r="C24" s="395"/>
      <c r="D24" s="401"/>
      <c r="E24" s="402"/>
      <c r="F24" s="403"/>
      <c r="G24" s="402"/>
      <c r="H24" s="403"/>
      <c r="I24" s="400"/>
    </row>
    <row r="25" spans="2:19" ht="9" customHeight="1" x14ac:dyDescent="0.3">
      <c r="C25" s="114"/>
      <c r="D25" s="114"/>
      <c r="E25" s="114"/>
      <c r="F25" s="115"/>
      <c r="G25" s="116"/>
      <c r="I25" s="117"/>
    </row>
    <row r="26" spans="2:19" ht="6.75" customHeight="1" thickBot="1" x14ac:dyDescent="0.35">
      <c r="B26" s="114"/>
      <c r="C26" s="114"/>
      <c r="D26" s="114"/>
      <c r="E26" s="114"/>
      <c r="F26" s="115"/>
      <c r="G26" s="116"/>
    </row>
    <row r="27" spans="2:19" ht="43.5" customHeight="1" thickBot="1" x14ac:dyDescent="0.35">
      <c r="B27" s="94" t="s">
        <v>112</v>
      </c>
      <c r="C27" s="95"/>
      <c r="D27" s="95"/>
      <c r="E27" s="95"/>
      <c r="F27" s="95"/>
      <c r="G27" s="95"/>
      <c r="I27" s="118" t="s">
        <v>113</v>
      </c>
    </row>
    <row r="28" spans="2:19" ht="14.25" customHeight="1" x14ac:dyDescent="0.3">
      <c r="B28" s="368" t="s">
        <v>114</v>
      </c>
      <c r="C28" s="369"/>
      <c r="D28" s="372" t="s">
        <v>115</v>
      </c>
      <c r="E28" s="373"/>
      <c r="F28" s="374"/>
      <c r="G28" s="375" t="s">
        <v>116</v>
      </c>
      <c r="H28" s="376"/>
      <c r="I28" s="377">
        <f>(D29*G29)*0.85</f>
        <v>0</v>
      </c>
    </row>
    <row r="29" spans="2:19" ht="15" customHeight="1" thickBot="1" x14ac:dyDescent="0.35">
      <c r="B29" s="370"/>
      <c r="C29" s="371"/>
      <c r="D29" s="379"/>
      <c r="E29" s="380"/>
      <c r="F29" s="381"/>
      <c r="G29" s="382"/>
      <c r="H29" s="383"/>
      <c r="I29" s="378"/>
    </row>
    <row r="30" spans="2:19" ht="14.25" customHeight="1" x14ac:dyDescent="0.3">
      <c r="B30" s="368" t="s">
        <v>101</v>
      </c>
      <c r="C30" s="369"/>
      <c r="D30" s="372" t="s">
        <v>115</v>
      </c>
      <c r="E30" s="373"/>
      <c r="F30" s="374"/>
      <c r="G30" s="375" t="s">
        <v>116</v>
      </c>
      <c r="H30" s="376"/>
      <c r="I30" s="377">
        <f>(D31*G31)*0.9</f>
        <v>0</v>
      </c>
      <c r="L30" s="388"/>
      <c r="M30" s="388"/>
      <c r="N30" s="389"/>
      <c r="O30" s="389"/>
      <c r="P30" s="389"/>
      <c r="Q30" s="390"/>
      <c r="R30" s="390"/>
      <c r="S30" s="390"/>
    </row>
    <row r="31" spans="2:19" ht="15" customHeight="1" thickBot="1" x14ac:dyDescent="0.35">
      <c r="B31" s="370"/>
      <c r="C31" s="371"/>
      <c r="D31" s="379"/>
      <c r="E31" s="380"/>
      <c r="F31" s="381"/>
      <c r="G31" s="382"/>
      <c r="H31" s="383"/>
      <c r="I31" s="378"/>
      <c r="L31" s="388"/>
      <c r="M31" s="388"/>
      <c r="N31" s="391"/>
      <c r="O31" s="391"/>
      <c r="P31" s="391"/>
      <c r="Q31" s="119"/>
      <c r="R31" s="119"/>
      <c r="S31" s="390"/>
    </row>
    <row r="32" spans="2:19" ht="14.25" customHeight="1" x14ac:dyDescent="0.3">
      <c r="B32" s="368" t="s">
        <v>102</v>
      </c>
      <c r="C32" s="369"/>
      <c r="D32" s="372" t="s">
        <v>115</v>
      </c>
      <c r="E32" s="373"/>
      <c r="F32" s="374"/>
      <c r="G32" s="375" t="s">
        <v>117</v>
      </c>
      <c r="H32" s="376"/>
      <c r="I32" s="377">
        <f>(D33*G33)</f>
        <v>0</v>
      </c>
    </row>
    <row r="33" spans="2:19" ht="15" customHeight="1" thickBot="1" x14ac:dyDescent="0.35">
      <c r="B33" s="370"/>
      <c r="C33" s="371"/>
      <c r="D33" s="379"/>
      <c r="E33" s="380"/>
      <c r="F33" s="381"/>
      <c r="G33" s="382"/>
      <c r="H33" s="383"/>
      <c r="I33" s="378"/>
    </row>
    <row r="34" spans="2:19" ht="14.25" customHeight="1" x14ac:dyDescent="0.3">
      <c r="B34" s="384" t="s">
        <v>104</v>
      </c>
      <c r="C34" s="385"/>
      <c r="D34" s="372" t="s">
        <v>115</v>
      </c>
      <c r="E34" s="373"/>
      <c r="F34" s="374"/>
      <c r="G34" s="375" t="s">
        <v>117</v>
      </c>
      <c r="H34" s="376"/>
      <c r="I34" s="377">
        <f>(D35*G35)*0.95</f>
        <v>0</v>
      </c>
    </row>
    <row r="35" spans="2:19" ht="15" customHeight="1" thickBot="1" x14ac:dyDescent="0.35">
      <c r="B35" s="386"/>
      <c r="C35" s="387"/>
      <c r="D35" s="379"/>
      <c r="E35" s="380"/>
      <c r="F35" s="381"/>
      <c r="G35" s="382"/>
      <c r="H35" s="383"/>
      <c r="I35" s="378"/>
    </row>
    <row r="36" spans="2:19" ht="14.25" customHeight="1" x14ac:dyDescent="0.3">
      <c r="B36" s="384" t="s">
        <v>106</v>
      </c>
      <c r="C36" s="385"/>
      <c r="D36" s="372" t="s">
        <v>115</v>
      </c>
      <c r="E36" s="373"/>
      <c r="F36" s="374"/>
      <c r="G36" s="375" t="s">
        <v>117</v>
      </c>
      <c r="H36" s="376"/>
      <c r="I36" s="377">
        <f>(D37*G37)*0.95</f>
        <v>0</v>
      </c>
    </row>
    <row r="37" spans="2:19" ht="15" customHeight="1" thickBot="1" x14ac:dyDescent="0.35">
      <c r="B37" s="386"/>
      <c r="C37" s="387"/>
      <c r="D37" s="379"/>
      <c r="E37" s="380"/>
      <c r="F37" s="381"/>
      <c r="G37" s="382"/>
      <c r="H37" s="383"/>
      <c r="I37" s="378"/>
    </row>
    <row r="38" spans="2:19" ht="14.25" customHeight="1" x14ac:dyDescent="0.3">
      <c r="B38" s="384" t="s">
        <v>107</v>
      </c>
      <c r="C38" s="385"/>
      <c r="D38" s="372" t="s">
        <v>115</v>
      </c>
      <c r="E38" s="373"/>
      <c r="F38" s="374"/>
      <c r="G38" s="375" t="s">
        <v>117</v>
      </c>
      <c r="H38" s="376"/>
      <c r="I38" s="377">
        <f>(D39*G39)*0.95</f>
        <v>0</v>
      </c>
    </row>
    <row r="39" spans="2:19" ht="15" customHeight="1" thickBot="1" x14ac:dyDescent="0.35">
      <c r="B39" s="386"/>
      <c r="C39" s="387"/>
      <c r="D39" s="379"/>
      <c r="E39" s="380"/>
      <c r="F39" s="381"/>
      <c r="G39" s="382"/>
      <c r="H39" s="383"/>
      <c r="I39" s="378"/>
    </row>
    <row r="40" spans="2:19" ht="14.25" customHeight="1" x14ac:dyDescent="0.3">
      <c r="B40" s="368" t="str">
        <f>B21</f>
        <v>Autre fourrage en balle</v>
      </c>
      <c r="C40" s="369"/>
      <c r="D40" s="372" t="s">
        <v>115</v>
      </c>
      <c r="E40" s="373"/>
      <c r="F40" s="374"/>
      <c r="G40" s="375" t="s">
        <v>117</v>
      </c>
      <c r="H40" s="376"/>
      <c r="I40" s="377">
        <f>(D41*G41)</f>
        <v>0</v>
      </c>
    </row>
    <row r="41" spans="2:19" ht="15" customHeight="1" thickBot="1" x14ac:dyDescent="0.35">
      <c r="B41" s="370"/>
      <c r="C41" s="371"/>
      <c r="D41" s="379"/>
      <c r="E41" s="380"/>
      <c r="F41" s="381"/>
      <c r="G41" s="382"/>
      <c r="H41" s="383"/>
      <c r="I41" s="378"/>
    </row>
    <row r="42" spans="2:19" ht="14.25" customHeight="1" x14ac:dyDescent="0.3">
      <c r="B42" s="368" t="str">
        <f>B23</f>
        <v>Sorgho Fourrager</v>
      </c>
      <c r="C42" s="369"/>
      <c r="D42" s="372" t="s">
        <v>115</v>
      </c>
      <c r="E42" s="373"/>
      <c r="F42" s="374"/>
      <c r="G42" s="375" t="s">
        <v>117</v>
      </c>
      <c r="H42" s="376"/>
      <c r="I42" s="377">
        <f>(D43*G43)</f>
        <v>0</v>
      </c>
    </row>
    <row r="43" spans="2:19" ht="15" customHeight="1" thickBot="1" x14ac:dyDescent="0.35">
      <c r="B43" s="370"/>
      <c r="C43" s="371"/>
      <c r="D43" s="379"/>
      <c r="E43" s="380"/>
      <c r="F43" s="381"/>
      <c r="G43" s="382"/>
      <c r="H43" s="383"/>
      <c r="I43" s="378"/>
    </row>
    <row r="44" spans="2:19" ht="18.75" customHeight="1" thickBot="1" x14ac:dyDescent="0.35"/>
    <row r="45" spans="2:19" ht="43.5" customHeight="1" thickBot="1" x14ac:dyDescent="0.35">
      <c r="B45" s="94" t="s">
        <v>118</v>
      </c>
      <c r="C45" s="95"/>
      <c r="D45" s="95"/>
      <c r="E45" s="95"/>
      <c r="F45" s="95"/>
      <c r="G45" s="95"/>
      <c r="I45" s="118" t="s">
        <v>113</v>
      </c>
    </row>
    <row r="46" spans="2:19" x14ac:dyDescent="0.3">
      <c r="B46" s="368" t="s">
        <v>114</v>
      </c>
      <c r="C46" s="369"/>
      <c r="D46" s="372" t="s">
        <v>119</v>
      </c>
      <c r="E46" s="373"/>
      <c r="F46" s="373"/>
      <c r="G46" s="373"/>
      <c r="H46" s="374"/>
      <c r="I46" s="377">
        <f>D47*0.85</f>
        <v>0</v>
      </c>
    </row>
    <row r="47" spans="2:19" ht="15" thickBot="1" x14ac:dyDescent="0.35">
      <c r="B47" s="370"/>
      <c r="C47" s="371"/>
      <c r="D47" s="379"/>
      <c r="E47" s="380"/>
      <c r="F47" s="380"/>
      <c r="G47" s="380"/>
      <c r="H47" s="381"/>
      <c r="I47" s="378"/>
    </row>
    <row r="48" spans="2:19" x14ac:dyDescent="0.3">
      <c r="B48" s="368" t="s">
        <v>101</v>
      </c>
      <c r="C48" s="369"/>
      <c r="D48" s="372" t="s">
        <v>119</v>
      </c>
      <c r="E48" s="373"/>
      <c r="F48" s="373"/>
      <c r="G48" s="373"/>
      <c r="H48" s="374"/>
      <c r="I48" s="377">
        <f>D49*0.9</f>
        <v>0</v>
      </c>
      <c r="L48" s="388"/>
      <c r="M48" s="388"/>
      <c r="N48" s="389"/>
      <c r="O48" s="389"/>
      <c r="P48" s="389"/>
      <c r="Q48" s="390"/>
      <c r="R48" s="390"/>
      <c r="S48" s="390"/>
    </row>
    <row r="49" spans="2:19" ht="15" thickBot="1" x14ac:dyDescent="0.35">
      <c r="B49" s="370"/>
      <c r="C49" s="371"/>
      <c r="D49" s="379"/>
      <c r="E49" s="380"/>
      <c r="F49" s="380"/>
      <c r="G49" s="380"/>
      <c r="H49" s="381"/>
      <c r="I49" s="378"/>
      <c r="L49" s="388"/>
      <c r="M49" s="388"/>
      <c r="N49" s="391"/>
      <c r="O49" s="391"/>
      <c r="P49" s="391"/>
      <c r="Q49" s="119"/>
      <c r="R49" s="119"/>
      <c r="S49" s="390"/>
    </row>
    <row r="50" spans="2:19" x14ac:dyDescent="0.3">
      <c r="B50" s="368" t="s">
        <v>102</v>
      </c>
      <c r="C50" s="369"/>
      <c r="D50" s="372" t="s">
        <v>119</v>
      </c>
      <c r="E50" s="373"/>
      <c r="F50" s="374"/>
      <c r="G50" s="375" t="s">
        <v>120</v>
      </c>
      <c r="H50" s="376"/>
      <c r="I50" s="377">
        <f>D51*(G51/100)</f>
        <v>0</v>
      </c>
    </row>
    <row r="51" spans="2:19" ht="15" thickBot="1" x14ac:dyDescent="0.35">
      <c r="B51" s="370"/>
      <c r="C51" s="371"/>
      <c r="D51" s="379"/>
      <c r="E51" s="380"/>
      <c r="F51" s="381"/>
      <c r="G51" s="382">
        <v>60</v>
      </c>
      <c r="H51" s="383"/>
      <c r="I51" s="378"/>
    </row>
    <row r="52" spans="2:19" x14ac:dyDescent="0.3">
      <c r="B52" s="384" t="s">
        <v>104</v>
      </c>
      <c r="C52" s="385"/>
      <c r="D52" s="372" t="s">
        <v>115</v>
      </c>
      <c r="E52" s="373"/>
      <c r="F52" s="374"/>
      <c r="G52" s="375" t="s">
        <v>117</v>
      </c>
      <c r="H52" s="376"/>
      <c r="I52" s="377">
        <f>(D53*G53)*0.95</f>
        <v>0</v>
      </c>
    </row>
    <row r="53" spans="2:19" ht="15" thickBot="1" x14ac:dyDescent="0.35">
      <c r="B53" s="386"/>
      <c r="C53" s="387"/>
      <c r="D53" s="379"/>
      <c r="E53" s="380"/>
      <c r="F53" s="381"/>
      <c r="G53" s="382"/>
      <c r="H53" s="383"/>
      <c r="I53" s="378"/>
    </row>
    <row r="54" spans="2:19" x14ac:dyDescent="0.3">
      <c r="B54" s="384" t="s">
        <v>106</v>
      </c>
      <c r="C54" s="385"/>
      <c r="D54" s="372" t="s">
        <v>115</v>
      </c>
      <c r="E54" s="373"/>
      <c r="F54" s="374"/>
      <c r="G54" s="375" t="s">
        <v>117</v>
      </c>
      <c r="H54" s="376"/>
      <c r="I54" s="377">
        <f>(D55*G55)*0.95</f>
        <v>0</v>
      </c>
    </row>
    <row r="55" spans="2:19" ht="15" thickBot="1" x14ac:dyDescent="0.35">
      <c r="B55" s="386"/>
      <c r="C55" s="387"/>
      <c r="D55" s="379"/>
      <c r="E55" s="380"/>
      <c r="F55" s="381"/>
      <c r="G55" s="382"/>
      <c r="H55" s="383"/>
      <c r="I55" s="378"/>
    </row>
    <row r="56" spans="2:19" x14ac:dyDescent="0.3">
      <c r="B56" s="384" t="s">
        <v>107</v>
      </c>
      <c r="C56" s="385"/>
      <c r="D56" s="372" t="s">
        <v>115</v>
      </c>
      <c r="E56" s="373"/>
      <c r="F56" s="374"/>
      <c r="G56" s="375" t="s">
        <v>117</v>
      </c>
      <c r="H56" s="376"/>
      <c r="I56" s="377">
        <f>(D57*G57)*0.95</f>
        <v>0</v>
      </c>
    </row>
    <row r="57" spans="2:19" ht="15" thickBot="1" x14ac:dyDescent="0.35">
      <c r="B57" s="386"/>
      <c r="C57" s="387"/>
      <c r="D57" s="379"/>
      <c r="E57" s="380"/>
      <c r="F57" s="381"/>
      <c r="G57" s="382"/>
      <c r="H57" s="383"/>
      <c r="I57" s="378"/>
    </row>
    <row r="58" spans="2:19" x14ac:dyDescent="0.3">
      <c r="B58" s="368" t="str">
        <f>B21</f>
        <v>Autre fourrage en balle</v>
      </c>
      <c r="C58" s="369"/>
      <c r="D58" s="372" t="s">
        <v>119</v>
      </c>
      <c r="E58" s="373"/>
      <c r="F58" s="374"/>
      <c r="G58" s="375" t="s">
        <v>120</v>
      </c>
      <c r="H58" s="376"/>
      <c r="I58" s="377">
        <f>D59*(G59/100)</f>
        <v>0</v>
      </c>
    </row>
    <row r="59" spans="2:19" ht="15" thickBot="1" x14ac:dyDescent="0.35">
      <c r="B59" s="370"/>
      <c r="C59" s="371"/>
      <c r="D59" s="379"/>
      <c r="E59" s="380"/>
      <c r="F59" s="381"/>
      <c r="G59" s="382"/>
      <c r="H59" s="383"/>
      <c r="I59" s="378"/>
    </row>
    <row r="60" spans="2:19" x14ac:dyDescent="0.3">
      <c r="B60" s="368" t="str">
        <f>B23</f>
        <v>Sorgho Fourrager</v>
      </c>
      <c r="C60" s="369"/>
      <c r="D60" s="372" t="s">
        <v>115</v>
      </c>
      <c r="E60" s="373"/>
      <c r="F60" s="374"/>
      <c r="G60" s="375" t="s">
        <v>117</v>
      </c>
      <c r="H60" s="376"/>
      <c r="I60" s="377">
        <f>(D61*G61)</f>
        <v>0</v>
      </c>
    </row>
    <row r="61" spans="2:19" ht="15" thickBot="1" x14ac:dyDescent="0.35">
      <c r="B61" s="370"/>
      <c r="C61" s="371"/>
      <c r="D61" s="379"/>
      <c r="E61" s="380"/>
      <c r="F61" s="381"/>
      <c r="G61" s="382"/>
      <c r="H61" s="383"/>
      <c r="I61" s="378"/>
    </row>
    <row r="63" spans="2:19" x14ac:dyDescent="0.3">
      <c r="B63" s="120" t="str">
        <f>"(1) les volumes calculés sont diminués de 5% pour tenir compte des pertes au silo et à l'auge"</f>
        <v>(1) les volumes calculés sont diminués de 5% pour tenir compte des pertes au silo et à l'auge</v>
      </c>
    </row>
  </sheetData>
  <sheetProtection password="E909" sheet="1" objects="1" scenarios="1" selectLockedCells="1" selectUnlockedCells="1"/>
  <mergeCells count="147">
    <mergeCell ref="B9:B12"/>
    <mergeCell ref="C9:C10"/>
    <mergeCell ref="D9:F9"/>
    <mergeCell ref="I9:I10"/>
    <mergeCell ref="D10:F10"/>
    <mergeCell ref="C11:C12"/>
    <mergeCell ref="D11:F11"/>
    <mergeCell ref="I11:I12"/>
    <mergeCell ref="B5:B8"/>
    <mergeCell ref="C5:C6"/>
    <mergeCell ref="D5:F5"/>
    <mergeCell ref="I5:I6"/>
    <mergeCell ref="D6:F6"/>
    <mergeCell ref="C7:C8"/>
    <mergeCell ref="D7:F7"/>
    <mergeCell ref="I7:I8"/>
    <mergeCell ref="B13:C14"/>
    <mergeCell ref="D13:F13"/>
    <mergeCell ref="I13:I14"/>
    <mergeCell ref="D14:F14"/>
    <mergeCell ref="B15:C16"/>
    <mergeCell ref="D15:F15"/>
    <mergeCell ref="G15:H15"/>
    <mergeCell ref="I15:I16"/>
    <mergeCell ref="G16:H16"/>
    <mergeCell ref="B17:C18"/>
    <mergeCell ref="D17:F17"/>
    <mergeCell ref="G17:H17"/>
    <mergeCell ref="I17:I18"/>
    <mergeCell ref="G18:H18"/>
    <mergeCell ref="B19:C20"/>
    <mergeCell ref="D19:F19"/>
    <mergeCell ref="G19:H19"/>
    <mergeCell ref="I19:I20"/>
    <mergeCell ref="G20:H20"/>
    <mergeCell ref="B28:C29"/>
    <mergeCell ref="D28:F28"/>
    <mergeCell ref="G28:H28"/>
    <mergeCell ref="I28:I29"/>
    <mergeCell ref="D29:F29"/>
    <mergeCell ref="G29:H29"/>
    <mergeCell ref="B21:C22"/>
    <mergeCell ref="D21:F21"/>
    <mergeCell ref="I21:I22"/>
    <mergeCell ref="D22:F22"/>
    <mergeCell ref="B23:C24"/>
    <mergeCell ref="D23:F23"/>
    <mergeCell ref="G23:H23"/>
    <mergeCell ref="I23:I24"/>
    <mergeCell ref="D24:F24"/>
    <mergeCell ref="G24:H24"/>
    <mergeCell ref="G33:H33"/>
    <mergeCell ref="B34:C35"/>
    <mergeCell ref="D34:F34"/>
    <mergeCell ref="G34:H34"/>
    <mergeCell ref="I34:I35"/>
    <mergeCell ref="D35:F35"/>
    <mergeCell ref="G35:H35"/>
    <mergeCell ref="Q30:R30"/>
    <mergeCell ref="S30:S31"/>
    <mergeCell ref="D31:F31"/>
    <mergeCell ref="G31:H31"/>
    <mergeCell ref="N31:P31"/>
    <mergeCell ref="B32:C33"/>
    <mergeCell ref="D32:F32"/>
    <mergeCell ref="G32:H32"/>
    <mergeCell ref="I32:I33"/>
    <mergeCell ref="D33:F33"/>
    <mergeCell ref="B30:C31"/>
    <mergeCell ref="D30:F30"/>
    <mergeCell ref="G30:H30"/>
    <mergeCell ref="I30:I31"/>
    <mergeCell ref="L30:M31"/>
    <mergeCell ref="N30:P30"/>
    <mergeCell ref="B38:C39"/>
    <mergeCell ref="D38:F38"/>
    <mergeCell ref="G38:H38"/>
    <mergeCell ref="I38:I39"/>
    <mergeCell ref="D39:F39"/>
    <mergeCell ref="G39:H39"/>
    <mergeCell ref="B36:C37"/>
    <mergeCell ref="D36:F36"/>
    <mergeCell ref="G36:H36"/>
    <mergeCell ref="I36:I37"/>
    <mergeCell ref="D37:F37"/>
    <mergeCell ref="G37:H37"/>
    <mergeCell ref="B42:C43"/>
    <mergeCell ref="D42:F42"/>
    <mergeCell ref="G42:H42"/>
    <mergeCell ref="I42:I43"/>
    <mergeCell ref="D43:F43"/>
    <mergeCell ref="G43:H43"/>
    <mergeCell ref="B40:C41"/>
    <mergeCell ref="D40:F40"/>
    <mergeCell ref="G40:H40"/>
    <mergeCell ref="I40:I41"/>
    <mergeCell ref="D41:F41"/>
    <mergeCell ref="G41:H41"/>
    <mergeCell ref="L48:M49"/>
    <mergeCell ref="N48:P48"/>
    <mergeCell ref="Q48:R48"/>
    <mergeCell ref="S48:S49"/>
    <mergeCell ref="D49:H49"/>
    <mergeCell ref="N49:P49"/>
    <mergeCell ref="B46:C47"/>
    <mergeCell ref="D46:H46"/>
    <mergeCell ref="I46:I47"/>
    <mergeCell ref="D47:H47"/>
    <mergeCell ref="B48:C49"/>
    <mergeCell ref="D48:H48"/>
    <mergeCell ref="I48:I49"/>
    <mergeCell ref="B52:C53"/>
    <mergeCell ref="D52:F52"/>
    <mergeCell ref="G52:H52"/>
    <mergeCell ref="I52:I53"/>
    <mergeCell ref="D53:F53"/>
    <mergeCell ref="G53:H53"/>
    <mergeCell ref="B50:C51"/>
    <mergeCell ref="D50:F50"/>
    <mergeCell ref="G50:H50"/>
    <mergeCell ref="I50:I51"/>
    <mergeCell ref="D51:F51"/>
    <mergeCell ref="G51:H51"/>
    <mergeCell ref="B56:C57"/>
    <mergeCell ref="D56:F56"/>
    <mergeCell ref="G56:H56"/>
    <mergeCell ref="I56:I57"/>
    <mergeCell ref="D57:F57"/>
    <mergeCell ref="G57:H57"/>
    <mergeCell ref="B54:C55"/>
    <mergeCell ref="D54:F54"/>
    <mergeCell ref="G54:H54"/>
    <mergeCell ref="I54:I55"/>
    <mergeCell ref="D55:F55"/>
    <mergeCell ref="G55:H55"/>
    <mergeCell ref="B60:C61"/>
    <mergeCell ref="D60:F60"/>
    <mergeCell ref="G60:H60"/>
    <mergeCell ref="I60:I61"/>
    <mergeCell ref="D61:F61"/>
    <mergeCell ref="G61:H61"/>
    <mergeCell ref="B58:C59"/>
    <mergeCell ref="D58:F58"/>
    <mergeCell ref="G58:H58"/>
    <mergeCell ref="I58:I59"/>
    <mergeCell ref="D59:F59"/>
    <mergeCell ref="G59:H5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5"/>
  <sheetViews>
    <sheetView showGridLines="0" topLeftCell="A34" workbookViewId="0">
      <selection activeCell="J18" sqref="J18"/>
    </sheetView>
  </sheetViews>
  <sheetFormatPr baseColWidth="10" defaultRowHeight="15" x14ac:dyDescent="0.25"/>
  <cols>
    <col min="1" max="1" width="4.5703125" style="14" customWidth="1"/>
    <col min="2" max="2" width="11.42578125" style="14"/>
    <col min="3" max="3" width="30.140625" style="14" customWidth="1"/>
    <col min="4" max="4" width="15.7109375" style="14" customWidth="1"/>
    <col min="5" max="11" width="12.42578125" style="14" customWidth="1"/>
    <col min="12" max="16384" width="11.42578125" style="14"/>
  </cols>
  <sheetData>
    <row r="2" spans="1:12" ht="26.25" x14ac:dyDescent="0.4">
      <c r="B2" s="276" t="s">
        <v>270</v>
      </c>
      <c r="C2" s="277"/>
    </row>
    <row r="3" spans="1:12" ht="15.75" thickBot="1" x14ac:dyDescent="0.3"/>
    <row r="4" spans="1:12" ht="42.75" customHeight="1" thickBot="1" x14ac:dyDescent="0.3">
      <c r="D4" s="627" t="s">
        <v>125</v>
      </c>
      <c r="E4" s="628"/>
      <c r="F4" s="629" t="s">
        <v>124</v>
      </c>
      <c r="G4" s="630"/>
      <c r="H4" s="631" t="s">
        <v>123</v>
      </c>
      <c r="I4" s="628"/>
      <c r="J4" s="632" t="s">
        <v>122</v>
      </c>
      <c r="K4" s="633"/>
    </row>
    <row r="5" spans="1:12" ht="26.25" thickBot="1" x14ac:dyDescent="0.35">
      <c r="B5" s="246"/>
      <c r="C5" s="246"/>
      <c r="D5" s="278">
        <v>2019</v>
      </c>
      <c r="E5" s="279" t="s">
        <v>151</v>
      </c>
      <c r="F5" s="280">
        <v>2019</v>
      </c>
      <c r="G5" s="281" t="s">
        <v>151</v>
      </c>
      <c r="H5" s="280">
        <v>2019</v>
      </c>
      <c r="I5" s="281" t="s">
        <v>151</v>
      </c>
      <c r="J5" s="282">
        <v>2019</v>
      </c>
      <c r="K5" s="283" t="s">
        <v>151</v>
      </c>
    </row>
    <row r="6" spans="1:12" ht="16.5" x14ac:dyDescent="0.3">
      <c r="B6" s="284"/>
      <c r="C6" s="285" t="str">
        <f>'Fourrages  2019'!B8</f>
        <v>FOINS</v>
      </c>
      <c r="D6" s="286">
        <f>'Fourrages  2019'!I8+'Fourrages  2019'!I12</f>
        <v>0</v>
      </c>
      <c r="E6" s="287">
        <f>'Fourrages  2019'!I10+'Fourrages  2019'!I14</f>
        <v>0</v>
      </c>
      <c r="F6" s="286">
        <f>'Fourrages  2019'!I52</f>
        <v>0</v>
      </c>
      <c r="G6" s="287">
        <f>'Fourrages  2019'!I54</f>
        <v>0</v>
      </c>
      <c r="H6" s="286">
        <f>'Fourrages  2019'!I87</f>
        <v>0</v>
      </c>
      <c r="I6" s="287">
        <f>'Fourrages  2019'!I89</f>
        <v>0</v>
      </c>
      <c r="J6" s="288">
        <f>D6+F6+H6</f>
        <v>0</v>
      </c>
      <c r="K6" s="289">
        <f>E6+G6+I6</f>
        <v>0</v>
      </c>
    </row>
    <row r="7" spans="1:12" ht="16.5" x14ac:dyDescent="0.3">
      <c r="B7" s="284"/>
      <c r="C7" s="290" t="str">
        <f>'Fourrages  2019'!B16</f>
        <v>PAILLE</v>
      </c>
      <c r="D7" s="291">
        <f>'Fourrages  2019'!I16+'Fourrages  2019'!I20</f>
        <v>0</v>
      </c>
      <c r="E7" s="292">
        <f>'Fourrages  2019'!I18+'Fourrages  2019'!I22</f>
        <v>0</v>
      </c>
      <c r="F7" s="286">
        <f>'Fourrages  2019'!I56</f>
        <v>0</v>
      </c>
      <c r="G7" s="287">
        <f>'Fourrages  2019'!I58</f>
        <v>0</v>
      </c>
      <c r="H7" s="286">
        <f>'Fourrages  2019'!I91</f>
        <v>0</v>
      </c>
      <c r="I7" s="287">
        <f>'Fourrages  2019'!I93</f>
        <v>0</v>
      </c>
      <c r="J7" s="293">
        <f>D7+F7+H7</f>
        <v>0</v>
      </c>
      <c r="K7" s="294">
        <f>E7+G7+I7</f>
        <v>0</v>
      </c>
    </row>
    <row r="8" spans="1:12" ht="16.5" x14ac:dyDescent="0.3">
      <c r="A8" s="295"/>
      <c r="B8" s="284"/>
      <c r="C8" s="290" t="str">
        <f>'Fourrages  2019'!B24</f>
        <v xml:space="preserve">ENRUBANNE </v>
      </c>
      <c r="D8" s="291">
        <f>'Fourrages  2019'!I24</f>
        <v>0</v>
      </c>
      <c r="E8" s="292">
        <f>'Fourrages  2019'!I26</f>
        <v>0</v>
      </c>
      <c r="F8" s="286">
        <f>'Fourrages  2019'!I60</f>
        <v>0</v>
      </c>
      <c r="G8" s="287">
        <f>'Fourrages  2019'!I62</f>
        <v>0</v>
      </c>
      <c r="H8" s="286">
        <f>'Fourrages  2019'!I95</f>
        <v>0</v>
      </c>
      <c r="I8" s="287">
        <f>'Fourrages  2019'!I97</f>
        <v>0</v>
      </c>
      <c r="J8" s="293">
        <f t="shared" ref="J8:K13" si="0">D8+F8+H8</f>
        <v>0</v>
      </c>
      <c r="K8" s="294">
        <f t="shared" si="0"/>
        <v>0</v>
      </c>
    </row>
    <row r="9" spans="1:12" ht="16.5" x14ac:dyDescent="0.3">
      <c r="A9" s="295"/>
      <c r="B9" s="284"/>
      <c r="C9" s="290" t="str">
        <f>'Fourrages  2019'!B28</f>
        <v xml:space="preserve">ENSILAGE d'HERBE (1) </v>
      </c>
      <c r="D9" s="291">
        <f>'Fourrages  2019'!I28</f>
        <v>0</v>
      </c>
      <c r="E9" s="292">
        <f>'Fourrages  2019'!I30</f>
        <v>0</v>
      </c>
      <c r="F9" s="286">
        <f>'Fourrages  2019'!I64</f>
        <v>0</v>
      </c>
      <c r="G9" s="287">
        <f>'Fourrages  2019'!I66</f>
        <v>0</v>
      </c>
      <c r="H9" s="286">
        <f>'Fourrages  2019'!I99</f>
        <v>0</v>
      </c>
      <c r="I9" s="287">
        <f>'Fourrages  2019'!I101</f>
        <v>0</v>
      </c>
      <c r="J9" s="293">
        <f t="shared" si="0"/>
        <v>0</v>
      </c>
      <c r="K9" s="294">
        <f t="shared" si="0"/>
        <v>0</v>
      </c>
    </row>
    <row r="10" spans="1:12" ht="16.5" x14ac:dyDescent="0.3">
      <c r="B10" s="284"/>
      <c r="C10" s="290" t="str">
        <f>'Fourrages  2019'!B32</f>
        <v>ENSILAGE de MAÏS (1)</v>
      </c>
      <c r="D10" s="291">
        <f>'Fourrages  2019'!I32</f>
        <v>0</v>
      </c>
      <c r="E10" s="292">
        <f>'Fourrages  2019'!I34</f>
        <v>0</v>
      </c>
      <c r="F10" s="286">
        <f>'Fourrages  2019'!I68</f>
        <v>0</v>
      </c>
      <c r="G10" s="287">
        <f>'Fourrages  2019'!I70</f>
        <v>0</v>
      </c>
      <c r="H10" s="286">
        <f>'Fourrages  2019'!I103</f>
        <v>0</v>
      </c>
      <c r="I10" s="287">
        <f>'Fourrages  2019'!I105</f>
        <v>0</v>
      </c>
      <c r="J10" s="293">
        <f t="shared" si="0"/>
        <v>0</v>
      </c>
      <c r="K10" s="294">
        <f t="shared" si="0"/>
        <v>0</v>
      </c>
    </row>
    <row r="11" spans="1:12" ht="16.5" x14ac:dyDescent="0.3">
      <c r="B11" s="284"/>
      <c r="C11" s="290" t="str">
        <f>'Fourrages  2019'!B36</f>
        <v>ENSILAGE de SORGHO (1)</v>
      </c>
      <c r="D11" s="291">
        <f>'Fourrages  2019'!I36</f>
        <v>0</v>
      </c>
      <c r="E11" s="292">
        <f>'Fourrages  2019'!I38</f>
        <v>0</v>
      </c>
      <c r="F11" s="286">
        <f>'Fourrages  2019'!I72</f>
        <v>0</v>
      </c>
      <c r="G11" s="287">
        <f>'Fourrages  2019'!I74</f>
        <v>0</v>
      </c>
      <c r="H11" s="286">
        <f>'Fourrages  2019'!I107</f>
        <v>0</v>
      </c>
      <c r="I11" s="287">
        <f>'Fourrages  2019'!I109</f>
        <v>0</v>
      </c>
      <c r="J11" s="293">
        <f t="shared" si="0"/>
        <v>0</v>
      </c>
      <c r="K11" s="294">
        <f t="shared" si="0"/>
        <v>0</v>
      </c>
    </row>
    <row r="12" spans="1:12" ht="16.5" x14ac:dyDescent="0.3">
      <c r="B12" s="284"/>
      <c r="C12" s="296" t="str">
        <f>'Fourrages  2019'!B40</f>
        <v xml:space="preserve">Autre fourrage en balle </v>
      </c>
      <c r="D12" s="291">
        <f>'Fourrages  2019'!I40</f>
        <v>0</v>
      </c>
      <c r="E12" s="292">
        <f>'Fourrages  2019'!I42</f>
        <v>0</v>
      </c>
      <c r="F12" s="286">
        <f>'Fourrages  2019'!I76</f>
        <v>0</v>
      </c>
      <c r="G12" s="287">
        <f>'Fourrages  2019'!I78</f>
        <v>0</v>
      </c>
      <c r="H12" s="286">
        <f>'Fourrages  2019'!I111</f>
        <v>0</v>
      </c>
      <c r="I12" s="287">
        <f>'Fourrages  2019'!I113</f>
        <v>0</v>
      </c>
      <c r="J12" s="293">
        <f t="shared" si="0"/>
        <v>0</v>
      </c>
      <c r="K12" s="294">
        <f t="shared" si="0"/>
        <v>0</v>
      </c>
    </row>
    <row r="13" spans="1:12" ht="17.25" thickBot="1" x14ac:dyDescent="0.35">
      <c r="B13" s="284"/>
      <c r="C13" s="297" t="str">
        <f>'Fourrages  2019'!B44</f>
        <v xml:space="preserve">Sorgho Fourrager </v>
      </c>
      <c r="D13" s="298">
        <f>'Fourrages  2019'!I44</f>
        <v>0</v>
      </c>
      <c r="E13" s="299">
        <f>'Fourrages  2019'!I46</f>
        <v>0</v>
      </c>
      <c r="F13" s="300">
        <f>'Fourrages  2019'!I80</f>
        <v>0</v>
      </c>
      <c r="G13" s="287">
        <f>'Fourrages  2019'!I82</f>
        <v>0</v>
      </c>
      <c r="H13" s="300">
        <f>'Fourrages  2019'!I115</f>
        <v>0</v>
      </c>
      <c r="I13" s="301">
        <f>'Fourrages  2019'!I117</f>
        <v>0</v>
      </c>
      <c r="J13" s="302">
        <f t="shared" si="0"/>
        <v>0</v>
      </c>
      <c r="K13" s="303">
        <f>E13+G13+I13</f>
        <v>0</v>
      </c>
    </row>
    <row r="14" spans="1:12" ht="17.25" thickBot="1" x14ac:dyDescent="0.35">
      <c r="B14" s="284"/>
      <c r="C14" s="304" t="s">
        <v>121</v>
      </c>
      <c r="D14" s="305">
        <f>SUM(D6:D13)</f>
        <v>0</v>
      </c>
      <c r="E14" s="306">
        <f>SUM(E6:E13)</f>
        <v>0</v>
      </c>
      <c r="F14" s="307">
        <f>SUM(F6:F13)</f>
        <v>0</v>
      </c>
      <c r="G14" s="306">
        <f t="shared" ref="G14:K14" si="1">SUM(G6:G13)</f>
        <v>0</v>
      </c>
      <c r="H14" s="308">
        <f t="shared" si="1"/>
        <v>0</v>
      </c>
      <c r="I14" s="309">
        <f t="shared" si="1"/>
        <v>0</v>
      </c>
      <c r="J14" s="307">
        <f>SUM(J6:J13)</f>
        <v>0</v>
      </c>
      <c r="K14" s="309">
        <f t="shared" si="1"/>
        <v>0</v>
      </c>
      <c r="L14" s="310"/>
    </row>
    <row r="15" spans="1:12" x14ac:dyDescent="0.25">
      <c r="B15" s="295"/>
    </row>
    <row r="18" spans="2:14" ht="26.25" x14ac:dyDescent="0.4">
      <c r="B18" s="276" t="s">
        <v>157</v>
      </c>
      <c r="C18" s="277"/>
      <c r="G18" s="367" t="s">
        <v>267</v>
      </c>
      <c r="H18" s="318"/>
      <c r="I18" s="318"/>
      <c r="J18" s="366"/>
      <c r="K18" s="327" t="b">
        <f>'Bilan 2'!K18</f>
        <v>1</v>
      </c>
    </row>
    <row r="20" spans="2:14" ht="15.75" thickBot="1" x14ac:dyDescent="0.3"/>
    <row r="21" spans="2:14" ht="22.5" customHeight="1" thickBot="1" x14ac:dyDescent="0.3">
      <c r="C21" s="311"/>
      <c r="D21" s="312" t="s">
        <v>159</v>
      </c>
    </row>
    <row r="22" spans="2:14" ht="15.75" thickBot="1" x14ac:dyDescent="0.3">
      <c r="C22" s="185" t="s">
        <v>10</v>
      </c>
      <c r="D22" s="313"/>
    </row>
    <row r="23" spans="2:14" ht="62.25" customHeight="1" x14ac:dyDescent="0.25">
      <c r="B23" s="311"/>
      <c r="C23" s="187" t="s">
        <v>18</v>
      </c>
      <c r="D23" s="365">
        <f>'Besoins animaux'!K20</f>
        <v>0</v>
      </c>
      <c r="G23" s="614" t="s">
        <v>249</v>
      </c>
      <c r="H23" s="614"/>
      <c r="I23" s="315">
        <f>'Bilan 2'!I23</f>
        <v>0</v>
      </c>
      <c r="J23" s="314" t="s">
        <v>245</v>
      </c>
      <c r="K23" s="314"/>
    </row>
    <row r="24" spans="2:14" x14ac:dyDescent="0.25">
      <c r="B24" s="311"/>
      <c r="C24" s="188" t="s">
        <v>20</v>
      </c>
      <c r="D24" s="363">
        <f>'Besoins animaux'!K22</f>
        <v>0</v>
      </c>
    </row>
    <row r="25" spans="2:14" x14ac:dyDescent="0.25">
      <c r="B25" s="311"/>
      <c r="C25" s="188" t="s">
        <v>21</v>
      </c>
      <c r="D25" s="363">
        <f>'Besoins animaux'!K23</f>
        <v>0</v>
      </c>
      <c r="F25" s="316"/>
    </row>
    <row r="26" spans="2:14" x14ac:dyDescent="0.25">
      <c r="B26" s="311"/>
      <c r="C26" s="188" t="s">
        <v>22</v>
      </c>
      <c r="D26" s="363">
        <f>'Besoins animaux'!K24</f>
        <v>0</v>
      </c>
      <c r="G26" s="317" t="str">
        <f>'Bilan 2'!G26</f>
        <v>Les besoins totaux de vos animaux sont de 0 t de MS et vous avez produit 0 T de MS en 2019.</v>
      </c>
      <c r="H26" s="318"/>
      <c r="I26" s="318"/>
      <c r="J26" s="318"/>
      <c r="K26" s="318"/>
      <c r="L26" s="318"/>
      <c r="M26" s="318"/>
      <c r="N26" s="318"/>
    </row>
    <row r="27" spans="2:14" ht="15.75" thickBot="1" x14ac:dyDescent="0.3">
      <c r="B27" s="311"/>
      <c r="C27" s="187" t="s">
        <v>23</v>
      </c>
      <c r="D27" s="364">
        <f>'Besoins animaux'!K26</f>
        <v>0</v>
      </c>
      <c r="G27" s="317" t="str">
        <f>'Bilan 2'!G27</f>
        <v>Votre déficit est de 0 t de MS.</v>
      </c>
      <c r="H27" s="318"/>
      <c r="I27" s="318"/>
      <c r="J27" s="318"/>
      <c r="K27" s="318"/>
      <c r="L27" s="318"/>
      <c r="M27" s="318"/>
      <c r="N27" s="318"/>
    </row>
    <row r="28" spans="2:14" ht="16.5" thickBot="1" x14ac:dyDescent="0.3">
      <c r="C28" s="201" t="s">
        <v>26</v>
      </c>
      <c r="D28" s="319"/>
      <c r="E28" s="310"/>
      <c r="G28" s="320"/>
    </row>
    <row r="29" spans="2:14" x14ac:dyDescent="0.25">
      <c r="C29" s="190" t="s">
        <v>27</v>
      </c>
      <c r="D29" s="360">
        <f>'Besoins animaux'!K34</f>
        <v>0</v>
      </c>
      <c r="G29" s="317" t="e">
        <f>'Bilan 2'!G29</f>
        <v>#DIV/0!</v>
      </c>
      <c r="H29" s="318"/>
      <c r="I29" s="318"/>
      <c r="J29" s="318"/>
      <c r="K29" s="318"/>
      <c r="L29" s="318"/>
      <c r="M29" s="318"/>
      <c r="N29" s="318"/>
    </row>
    <row r="30" spans="2:14" x14ac:dyDescent="0.25">
      <c r="C30" s="194" t="s">
        <v>20</v>
      </c>
      <c r="D30" s="361">
        <f>'Besoins animaux'!K36</f>
        <v>0</v>
      </c>
      <c r="G30" s="317" t="str">
        <f>'Bilan 2'!G30</f>
        <v>Vous avez également consommé 0 t de MS ce qui représente actuellement 0% de votre récolte 2019</v>
      </c>
      <c r="H30" s="318"/>
      <c r="I30" s="318"/>
      <c r="J30" s="318"/>
      <c r="K30" s="318"/>
      <c r="L30" s="318"/>
      <c r="M30" s="318"/>
      <c r="N30" s="318"/>
    </row>
    <row r="31" spans="2:14" x14ac:dyDescent="0.25">
      <c r="C31" s="194" t="s">
        <v>21</v>
      </c>
      <c r="D31" s="361">
        <f>'Besoins animaux'!K37</f>
        <v>0</v>
      </c>
      <c r="G31" s="317" t="e">
        <f>'Bilan 2'!G31</f>
        <v>#DIV/0!</v>
      </c>
      <c r="H31" s="318"/>
      <c r="I31" s="318"/>
      <c r="J31" s="318"/>
      <c r="K31" s="318"/>
      <c r="L31" s="318"/>
      <c r="M31" s="318"/>
      <c r="N31" s="318"/>
    </row>
    <row r="32" spans="2:14" ht="15.75" x14ac:dyDescent="0.25">
      <c r="C32" s="194" t="s">
        <v>22</v>
      </c>
      <c r="D32" s="361">
        <f>'Besoins animaux'!K38</f>
        <v>0</v>
      </c>
      <c r="G32" s="320"/>
    </row>
    <row r="33" spans="3:14" x14ac:dyDescent="0.25">
      <c r="C33" s="194" t="s">
        <v>28</v>
      </c>
      <c r="D33" s="361">
        <f>'Besoins animaux'!K40</f>
        <v>0</v>
      </c>
      <c r="G33" s="317" t="e">
        <f>'Bilan 2'!G33</f>
        <v>#DIV/0!</v>
      </c>
      <c r="H33" s="318"/>
      <c r="I33" s="318"/>
      <c r="J33" s="318"/>
      <c r="K33" s="318"/>
      <c r="L33" s="318"/>
      <c r="M33" s="318"/>
      <c r="N33" s="318"/>
    </row>
    <row r="34" spans="3:14" x14ac:dyDescent="0.25">
      <c r="C34" s="196" t="s">
        <v>29</v>
      </c>
      <c r="D34" s="361">
        <f>'Besoins animaux'!K42</f>
        <v>0</v>
      </c>
      <c r="G34" s="317" t="e">
        <f>'Bilan 2'!G34</f>
        <v>#VALUE!</v>
      </c>
      <c r="H34" s="318"/>
      <c r="I34" s="318"/>
      <c r="J34" s="318"/>
      <c r="K34" s="318"/>
      <c r="L34" s="318"/>
      <c r="M34" s="318"/>
      <c r="N34" s="318"/>
    </row>
    <row r="35" spans="3:14" x14ac:dyDescent="0.25">
      <c r="C35" s="196" t="s">
        <v>35</v>
      </c>
      <c r="D35" s="361">
        <f>'Besoins animaux'!K44</f>
        <v>0</v>
      </c>
      <c r="G35" s="317" t="e">
        <f>'Bilan 2'!G35</f>
        <v>#VALUE!</v>
      </c>
      <c r="H35" s="318"/>
      <c r="I35" s="318"/>
      <c r="J35" s="318"/>
      <c r="K35" s="318"/>
      <c r="L35" s="318"/>
      <c r="M35" s="318"/>
      <c r="N35" s="318"/>
    </row>
    <row r="36" spans="3:14" x14ac:dyDescent="0.25">
      <c r="C36" s="196" t="s">
        <v>35</v>
      </c>
      <c r="D36" s="361">
        <f>'Besoins animaux'!K46</f>
        <v>0</v>
      </c>
      <c r="G36" s="318" t="e">
        <f>'Bilan 2'!G36</f>
        <v>#VALUE!</v>
      </c>
      <c r="H36" s="318"/>
      <c r="I36" s="318"/>
      <c r="J36" s="318"/>
      <c r="K36" s="318"/>
      <c r="L36" s="318"/>
      <c r="M36" s="318"/>
      <c r="N36" s="318"/>
    </row>
    <row r="37" spans="3:14" ht="15.75" thickBot="1" x14ac:dyDescent="0.3">
      <c r="C37" s="197" t="s">
        <v>35</v>
      </c>
      <c r="D37" s="362">
        <f>'Besoins animaux'!K48</f>
        <v>0</v>
      </c>
    </row>
    <row r="38" spans="3:14" ht="15.75" thickBot="1" x14ac:dyDescent="0.3">
      <c r="C38" s="202" t="s">
        <v>30</v>
      </c>
      <c r="D38" s="319"/>
      <c r="G38" s="321" t="s">
        <v>263</v>
      </c>
      <c r="H38" s="321"/>
      <c r="I38" s="321"/>
      <c r="J38" s="321"/>
      <c r="K38" s="321"/>
      <c r="L38" s="321"/>
      <c r="M38" s="321"/>
      <c r="N38" s="321"/>
    </row>
    <row r="39" spans="3:14" x14ac:dyDescent="0.25">
      <c r="C39" s="190" t="s">
        <v>31</v>
      </c>
      <c r="D39" s="360">
        <f>'Besoins animaux'!K57</f>
        <v>0</v>
      </c>
      <c r="G39" s="321" t="s">
        <v>246</v>
      </c>
      <c r="H39" s="321"/>
      <c r="I39" s="321"/>
      <c r="J39" s="321"/>
      <c r="K39" s="321"/>
      <c r="L39" s="321"/>
      <c r="M39" s="321"/>
      <c r="N39" s="321"/>
    </row>
    <row r="40" spans="3:14" ht="15.75" thickBot="1" x14ac:dyDescent="0.3">
      <c r="C40" s="192" t="s">
        <v>32</v>
      </c>
      <c r="D40" s="362">
        <f>'Besoins animaux'!K59</f>
        <v>0</v>
      </c>
      <c r="G40" s="321" t="s">
        <v>264</v>
      </c>
      <c r="H40" s="321"/>
      <c r="I40" s="321"/>
      <c r="J40" s="321"/>
      <c r="K40" s="321"/>
      <c r="L40" s="321"/>
      <c r="M40" s="321"/>
      <c r="N40" s="321"/>
    </row>
    <row r="41" spans="3:14" ht="15.75" thickBot="1" x14ac:dyDescent="0.3">
      <c r="D41" s="15"/>
      <c r="G41" s="321" t="s">
        <v>265</v>
      </c>
      <c r="H41" s="321"/>
      <c r="I41" s="321"/>
      <c r="J41" s="321"/>
      <c r="K41" s="321"/>
      <c r="L41" s="321"/>
      <c r="M41" s="321"/>
      <c r="N41" s="321"/>
    </row>
    <row r="42" spans="3:14" ht="15.75" thickBot="1" x14ac:dyDescent="0.3">
      <c r="C42" s="204" t="s">
        <v>158</v>
      </c>
      <c r="D42" s="322">
        <f>SUM(D23:D40)</f>
        <v>0</v>
      </c>
    </row>
    <row r="45" spans="3:14" x14ac:dyDescent="0.25">
      <c r="D45" s="323" t="e">
        <f>(100*J14)/D42</f>
        <v>#DIV/0!</v>
      </c>
      <c r="E45" s="323" t="e">
        <f>+ROUND(D45,2)</f>
        <v>#DIV/0!</v>
      </c>
    </row>
  </sheetData>
  <sheetProtection password="E909" sheet="1" objects="1" scenarios="1" selectLockedCells="1"/>
  <mergeCells count="5">
    <mergeCell ref="D4:E4"/>
    <mergeCell ref="F4:G4"/>
    <mergeCell ref="H4:I4"/>
    <mergeCell ref="J4:K4"/>
    <mergeCell ref="G23:H23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9</xdr:col>
                    <xdr:colOff>342900</xdr:colOff>
                    <xdr:row>17</xdr:row>
                    <xdr:rowOff>57150</xdr:rowOff>
                  </from>
                  <to>
                    <xdr:col>9</xdr:col>
                    <xdr:colOff>657225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showGridLines="0" tabSelected="1" topLeftCell="A16" workbookViewId="0">
      <selection activeCell="J36" sqref="J36"/>
    </sheetView>
  </sheetViews>
  <sheetFormatPr baseColWidth="10" defaultRowHeight="15" x14ac:dyDescent="0.25"/>
  <cols>
    <col min="1" max="1" width="4.28515625" customWidth="1"/>
    <col min="2" max="2" width="35.5703125" customWidth="1"/>
    <col min="3" max="3" width="9" customWidth="1"/>
    <col min="4" max="4" width="6.28515625" customWidth="1"/>
    <col min="5" max="5" width="18.28515625" customWidth="1"/>
  </cols>
  <sheetData>
    <row r="2" spans="1:7" ht="33" customHeight="1" x14ac:dyDescent="0.25">
      <c r="A2" s="589" t="s">
        <v>204</v>
      </c>
      <c r="B2" s="589"/>
      <c r="C2" s="589"/>
      <c r="D2" s="589"/>
      <c r="E2" s="589"/>
      <c r="F2" s="589"/>
      <c r="G2" s="589"/>
    </row>
    <row r="3" spans="1:7" x14ac:dyDescent="0.25">
      <c r="B3" s="164"/>
      <c r="C3" s="164"/>
      <c r="D3" s="164"/>
      <c r="E3" s="164"/>
    </row>
    <row r="4" spans="1:7" x14ac:dyDescent="0.25">
      <c r="B4" s="164"/>
      <c r="C4" s="164"/>
      <c r="D4" s="164"/>
      <c r="E4" s="164"/>
    </row>
    <row r="5" spans="1:7" x14ac:dyDescent="0.25">
      <c r="B5" s="216" t="str">
        <f>"Commune du siège d'exploitation : "&amp;Accueil!C9&amp;""</f>
        <v xml:space="preserve">Commune du siège d'exploitation : </v>
      </c>
      <c r="E5" s="216" t="s">
        <v>219</v>
      </c>
      <c r="F5">
        <f>'impression (2)'!F5</f>
        <v>0</v>
      </c>
    </row>
    <row r="6" spans="1:7" x14ac:dyDescent="0.25">
      <c r="E6" s="216" t="str">
        <f>"Altitude exploitation : "&amp;Accueil!F11&amp;""</f>
        <v xml:space="preserve">Altitude exploitation : </v>
      </c>
      <c r="F6">
        <f>'impression (2)'!F6</f>
        <v>0</v>
      </c>
      <c r="G6" s="216" t="s">
        <v>255</v>
      </c>
    </row>
    <row r="7" spans="1:7" x14ac:dyDescent="0.25">
      <c r="B7" s="216" t="str">
        <f>"Dénomination : "&amp;Accueil!C11&amp;""</f>
        <v xml:space="preserve">Dénomination : </v>
      </c>
    </row>
    <row r="8" spans="1:7" x14ac:dyDescent="0.25">
      <c r="B8" s="216"/>
    </row>
    <row r="9" spans="1:7" x14ac:dyDescent="0.25">
      <c r="B9" s="325" t="str">
        <f>"Téléphone : 0"&amp;'impression (2)'!I112&amp;""</f>
        <v>Téléphone : 00</v>
      </c>
    </row>
    <row r="11" spans="1:7" x14ac:dyDescent="0.25">
      <c r="B11" s="218" t="s">
        <v>174</v>
      </c>
      <c r="C11">
        <f>'impression (2)'!C11</f>
        <v>0</v>
      </c>
      <c r="D11" t="s">
        <v>7</v>
      </c>
    </row>
    <row r="13" spans="1:7" s="217" customFormat="1" ht="18.75" customHeight="1" x14ac:dyDescent="0.25">
      <c r="B13" s="217" t="s">
        <v>206</v>
      </c>
      <c r="C13">
        <f>'impression (2)'!C13</f>
        <v>0</v>
      </c>
      <c r="D13" s="217" t="s">
        <v>7</v>
      </c>
    </row>
    <row r="14" spans="1:7" s="217" customFormat="1" ht="18.75" customHeight="1" x14ac:dyDescent="0.25">
      <c r="B14" s="217" t="s">
        <v>205</v>
      </c>
      <c r="C14">
        <f>'impression (2)'!C14</f>
        <v>0</v>
      </c>
      <c r="D14" s="217" t="s">
        <v>7</v>
      </c>
    </row>
    <row r="15" spans="1:7" s="217" customFormat="1" ht="18.75" customHeight="1" x14ac:dyDescent="0.25">
      <c r="B15" s="217" t="s">
        <v>207</v>
      </c>
      <c r="C15">
        <f>'impression (2)'!C15</f>
        <v>0</v>
      </c>
      <c r="D15" s="217" t="s">
        <v>7</v>
      </c>
    </row>
    <row r="16" spans="1:7" s="217" customFormat="1" ht="18.75" customHeight="1" x14ac:dyDescent="0.25">
      <c r="B16" s="217" t="s">
        <v>208</v>
      </c>
      <c r="C16">
        <f>'impression (2)'!C16</f>
        <v>0</v>
      </c>
      <c r="D16" s="217" t="s">
        <v>7</v>
      </c>
    </row>
    <row r="17" spans="2:7" s="217" customFormat="1" ht="18.75" customHeight="1" x14ac:dyDescent="0.25">
      <c r="B17" s="217" t="s">
        <v>209</v>
      </c>
      <c r="C17">
        <f>'impression (2)'!C17</f>
        <v>0</v>
      </c>
      <c r="D17" s="217" t="s">
        <v>7</v>
      </c>
    </row>
    <row r="20" spans="2:7" x14ac:dyDescent="0.25">
      <c r="B20" s="217" t="s">
        <v>213</v>
      </c>
      <c r="C20">
        <f>'impression (2)'!C20</f>
        <v>0</v>
      </c>
      <c r="E20" s="217" t="s">
        <v>212</v>
      </c>
      <c r="F20">
        <f>'impression (2)'!F20</f>
        <v>0</v>
      </c>
    </row>
    <row r="22" spans="2:7" x14ac:dyDescent="0.25">
      <c r="B22" s="217" t="s">
        <v>214</v>
      </c>
      <c r="C22">
        <f>'impression (2)'!C22</f>
        <v>0</v>
      </c>
    </row>
    <row r="23" spans="2:7" x14ac:dyDescent="0.25">
      <c r="B23" t="s">
        <v>210</v>
      </c>
      <c r="C23" t="e">
        <f>'impression (2)'!C23</f>
        <v>#DIV/0!</v>
      </c>
    </row>
    <row r="26" spans="2:7" x14ac:dyDescent="0.25">
      <c r="B26" s="217" t="s">
        <v>215</v>
      </c>
    </row>
    <row r="27" spans="2:7" x14ac:dyDescent="0.25">
      <c r="B27" s="644"/>
      <c r="C27" s="645"/>
      <c r="D27" s="645"/>
      <c r="E27" s="645"/>
      <c r="F27" s="645"/>
      <c r="G27" s="646"/>
    </row>
    <row r="28" spans="2:7" x14ac:dyDescent="0.25">
      <c r="B28" s="647"/>
      <c r="C28" s="648"/>
      <c r="D28" s="648"/>
      <c r="E28" s="648"/>
      <c r="F28" s="648"/>
      <c r="G28" s="649"/>
    </row>
    <row r="29" spans="2:7" x14ac:dyDescent="0.25">
      <c r="B29" s="647"/>
      <c r="C29" s="648"/>
      <c r="D29" s="648"/>
      <c r="E29" s="648"/>
      <c r="F29" s="648"/>
      <c r="G29" s="649"/>
    </row>
    <row r="30" spans="2:7" ht="21.75" customHeight="1" x14ac:dyDescent="0.25">
      <c r="B30" s="650"/>
      <c r="C30" s="651"/>
      <c r="D30" s="651"/>
      <c r="E30" s="651"/>
      <c r="F30" s="651"/>
      <c r="G30" s="652"/>
    </row>
    <row r="32" spans="2:7" x14ac:dyDescent="0.25">
      <c r="B32" s="217" t="s">
        <v>211</v>
      </c>
    </row>
    <row r="33" spans="2:7" x14ac:dyDescent="0.25">
      <c r="B33" s="644">
        <f>Accueil!B51</f>
        <v>0</v>
      </c>
      <c r="C33" s="645"/>
      <c r="D33" s="645"/>
      <c r="E33" s="645"/>
      <c r="F33" s="645"/>
      <c r="G33" s="646"/>
    </row>
    <row r="34" spans="2:7" x14ac:dyDescent="0.25">
      <c r="B34" s="647"/>
      <c r="C34" s="648"/>
      <c r="D34" s="648"/>
      <c r="E34" s="648"/>
      <c r="F34" s="648"/>
      <c r="G34" s="649"/>
    </row>
    <row r="35" spans="2:7" ht="28.5" customHeight="1" x14ac:dyDescent="0.25">
      <c r="B35" s="650"/>
      <c r="C35" s="651"/>
      <c r="D35" s="651"/>
      <c r="E35" s="651"/>
      <c r="F35" s="651"/>
      <c r="G35" s="652"/>
    </row>
    <row r="37" spans="2:7" x14ac:dyDescent="0.25">
      <c r="B37" s="217" t="s">
        <v>216</v>
      </c>
    </row>
    <row r="38" spans="2:7" x14ac:dyDescent="0.25">
      <c r="B38" s="644"/>
      <c r="C38" s="645"/>
      <c r="D38" s="645"/>
      <c r="E38" s="645"/>
      <c r="F38" s="645"/>
      <c r="G38" s="646"/>
    </row>
    <row r="39" spans="2:7" x14ac:dyDescent="0.25">
      <c r="B39" s="647"/>
      <c r="C39" s="648"/>
      <c r="D39" s="648"/>
      <c r="E39" s="648"/>
      <c r="F39" s="648"/>
      <c r="G39" s="649"/>
    </row>
    <row r="40" spans="2:7" x14ac:dyDescent="0.25">
      <c r="B40" s="647"/>
      <c r="C40" s="648"/>
      <c r="D40" s="648"/>
      <c r="E40" s="648"/>
      <c r="F40" s="648"/>
      <c r="G40" s="649"/>
    </row>
    <row r="41" spans="2:7" x14ac:dyDescent="0.25">
      <c r="B41" s="650"/>
      <c r="C41" s="651"/>
      <c r="D41" s="651"/>
      <c r="E41" s="651"/>
      <c r="F41" s="651"/>
      <c r="G41" s="652"/>
    </row>
    <row r="43" spans="2:7" x14ac:dyDescent="0.25">
      <c r="B43" s="217" t="s">
        <v>217</v>
      </c>
    </row>
    <row r="44" spans="2:7" x14ac:dyDescent="0.25">
      <c r="B44" s="591" t="str">
        <f>"A la sortie de l'hiver 2018, les stocks étaient de "&amp;'Report stocks_2018'!I57&amp;" tonnes de MS."</f>
        <v>A la sortie de l'hiver 2018, les stocks étaient de 0 tonnes de MS.</v>
      </c>
      <c r="C44" s="591"/>
      <c r="D44" s="591"/>
      <c r="E44" s="591"/>
      <c r="F44" s="591"/>
      <c r="G44" s="591"/>
    </row>
    <row r="45" spans="2:7" x14ac:dyDescent="0.25">
      <c r="B45" s="591"/>
      <c r="C45" s="591"/>
      <c r="D45" s="591"/>
      <c r="E45" s="591"/>
      <c r="F45" s="591"/>
      <c r="G45" s="591"/>
    </row>
    <row r="52" spans="2:7" ht="15.75" x14ac:dyDescent="0.25">
      <c r="D52" s="588" t="s">
        <v>266</v>
      </c>
      <c r="E52" s="588"/>
      <c r="F52" s="588" t="s">
        <v>182</v>
      </c>
      <c r="G52" s="588"/>
    </row>
    <row r="53" spans="2:7" ht="17.25" x14ac:dyDescent="0.3">
      <c r="B53" s="592" t="s">
        <v>180</v>
      </c>
      <c r="C53" s="592"/>
      <c r="D53" s="593"/>
      <c r="E53" s="593"/>
      <c r="F53" s="593"/>
      <c r="G53" s="593"/>
    </row>
    <row r="54" spans="2:7" x14ac:dyDescent="0.25">
      <c r="B54" s="594" t="s">
        <v>183</v>
      </c>
      <c r="C54" s="594"/>
      <c r="D54" s="595">
        <f>'impression (2)'!D54:E54</f>
        <v>0</v>
      </c>
      <c r="E54" s="595"/>
      <c r="F54" s="595">
        <f>'impression (2)'!F54:G54</f>
        <v>0</v>
      </c>
      <c r="G54" s="595"/>
    </row>
    <row r="55" spans="2:7" x14ac:dyDescent="0.25">
      <c r="B55" s="594" t="s">
        <v>186</v>
      </c>
      <c r="C55" s="594"/>
      <c r="D55" s="595" t="e">
        <f>'impression (2)'!D55:E55</f>
        <v>#DIV/0!</v>
      </c>
      <c r="E55" s="595"/>
      <c r="F55" s="595" t="e">
        <f>'impression (2)'!F55:G55</f>
        <v>#DIV/0!</v>
      </c>
      <c r="G55" s="595"/>
    </row>
    <row r="56" spans="2:7" x14ac:dyDescent="0.25">
      <c r="B56" s="594" t="s">
        <v>184</v>
      </c>
      <c r="C56" s="594"/>
      <c r="D56" s="595">
        <f>'impression (2)'!D56:E56</f>
        <v>0</v>
      </c>
      <c r="E56" s="595"/>
      <c r="F56" s="595">
        <f>'impression (2)'!F56:G56</f>
        <v>0</v>
      </c>
      <c r="G56" s="595"/>
    </row>
    <row r="57" spans="2:7" x14ac:dyDescent="0.25">
      <c r="B57" s="594" t="s">
        <v>187</v>
      </c>
      <c r="C57" s="594"/>
      <c r="D57" s="595" t="e">
        <f>'impression (2)'!D57:E57</f>
        <v>#DIV/0!</v>
      </c>
      <c r="E57" s="595"/>
      <c r="F57" s="595" t="e">
        <f>'impression (2)'!F57:G57</f>
        <v>#DIV/0!</v>
      </c>
      <c r="G57" s="595"/>
    </row>
    <row r="58" spans="2:7" x14ac:dyDescent="0.25">
      <c r="B58" s="594" t="s">
        <v>185</v>
      </c>
      <c r="C58" s="594"/>
      <c r="D58" s="595">
        <f>'impression (2)'!D58:E58</f>
        <v>0</v>
      </c>
      <c r="E58" s="595"/>
      <c r="F58" s="595">
        <f>'impression (2)'!F58:G58</f>
        <v>0</v>
      </c>
      <c r="G58" s="595"/>
    </row>
    <row r="59" spans="2:7" x14ac:dyDescent="0.25">
      <c r="B59" s="594" t="s">
        <v>188</v>
      </c>
      <c r="C59" s="594"/>
      <c r="D59" s="595">
        <f>'impression (2)'!D59:E59</f>
        <v>0</v>
      </c>
      <c r="E59" s="595"/>
      <c r="F59" s="595" t="e">
        <f>'impression (2)'!F59:G59</f>
        <v>#DIV/0!</v>
      </c>
      <c r="G59" s="595"/>
    </row>
    <row r="60" spans="2:7" x14ac:dyDescent="0.25">
      <c r="B60" s="594" t="s">
        <v>189</v>
      </c>
      <c r="C60" s="594"/>
      <c r="D60" s="595">
        <f>'impression (2)'!D60:E60</f>
        <v>0</v>
      </c>
      <c r="E60" s="595"/>
      <c r="F60" s="595">
        <f>'impression (2)'!F60:G60</f>
        <v>0</v>
      </c>
      <c r="G60" s="595"/>
    </row>
    <row r="61" spans="2:7" x14ac:dyDescent="0.25">
      <c r="B61" s="594" t="s">
        <v>190</v>
      </c>
      <c r="C61" s="594"/>
      <c r="D61" s="595">
        <f>'impression (2)'!D61:E61</f>
        <v>0</v>
      </c>
      <c r="E61" s="595"/>
      <c r="F61" s="595">
        <f>'impression (2)'!F61:G61</f>
        <v>600</v>
      </c>
      <c r="G61" s="595"/>
    </row>
    <row r="62" spans="2:7" x14ac:dyDescent="0.25">
      <c r="B62" s="594" t="s">
        <v>191</v>
      </c>
      <c r="C62" s="594"/>
      <c r="D62" s="595" t="e">
        <f>'impression (2)'!D62:E62</f>
        <v>#VALUE!</v>
      </c>
      <c r="E62" s="595"/>
      <c r="F62" s="595" t="e">
        <f>'impression (2)'!F62:G62</f>
        <v>#VALUE!</v>
      </c>
      <c r="G62" s="595"/>
    </row>
    <row r="63" spans="2:7" x14ac:dyDescent="0.25">
      <c r="B63" s="594" t="s">
        <v>192</v>
      </c>
      <c r="C63" s="594"/>
      <c r="D63" s="595"/>
      <c r="E63" s="595"/>
      <c r="F63" s="595"/>
      <c r="G63" s="595"/>
    </row>
    <row r="64" spans="2:7" x14ac:dyDescent="0.25">
      <c r="B64" s="594"/>
      <c r="C64" s="594"/>
      <c r="D64" s="595"/>
      <c r="E64" s="595"/>
      <c r="F64" s="595"/>
      <c r="G64" s="595"/>
    </row>
    <row r="65" spans="2:7" ht="17.25" x14ac:dyDescent="0.3">
      <c r="B65" s="592" t="s">
        <v>193</v>
      </c>
      <c r="C65" s="592"/>
      <c r="D65" s="595"/>
      <c r="E65" s="595"/>
      <c r="F65" s="595"/>
      <c r="G65" s="595"/>
    </row>
    <row r="66" spans="2:7" x14ac:dyDescent="0.25">
      <c r="B66" s="594" t="s">
        <v>194</v>
      </c>
      <c r="C66" s="594"/>
      <c r="D66" s="634">
        <f>'impression (2)'!D66:E66</f>
        <v>0</v>
      </c>
      <c r="E66" s="634"/>
      <c r="F66" s="634">
        <f>'impression (2)'!F66:G66</f>
        <v>0</v>
      </c>
      <c r="G66" s="634"/>
    </row>
    <row r="67" spans="2:7" x14ac:dyDescent="0.25">
      <c r="B67" s="594" t="s">
        <v>195</v>
      </c>
      <c r="C67" s="594"/>
      <c r="D67" s="634">
        <f>'impression (2)'!D67:E67</f>
        <v>0</v>
      </c>
      <c r="E67" s="634"/>
      <c r="F67" s="634">
        <f>'impression (2)'!F67:G67</f>
        <v>0</v>
      </c>
      <c r="G67" s="634"/>
    </row>
    <row r="68" spans="2:7" x14ac:dyDescent="0.25">
      <c r="B68" s="594" t="s">
        <v>196</v>
      </c>
      <c r="C68" s="594"/>
      <c r="D68" s="595">
        <f>'impression (2)'!D68:E68</f>
        <v>0</v>
      </c>
      <c r="E68" s="595"/>
      <c r="F68" s="595">
        <f>'impression (2)'!F68:G68</f>
        <v>0</v>
      </c>
      <c r="G68" s="595"/>
    </row>
    <row r="69" spans="2:7" x14ac:dyDescent="0.25">
      <c r="B69" s="594" t="s">
        <v>197</v>
      </c>
      <c r="C69" s="594"/>
      <c r="D69" s="595">
        <f>'impression (2)'!D69:E69</f>
        <v>0</v>
      </c>
      <c r="E69" s="595"/>
      <c r="F69" s="595">
        <f>'impression (2)'!F69:G69</f>
        <v>0</v>
      </c>
      <c r="G69" s="595"/>
    </row>
    <row r="70" spans="2:7" x14ac:dyDescent="0.25">
      <c r="B70" s="594" t="s">
        <v>198</v>
      </c>
      <c r="C70" s="594"/>
      <c r="D70" s="595">
        <f>'impression (2)'!D70:E70</f>
        <v>0</v>
      </c>
      <c r="E70" s="595"/>
      <c r="F70" s="595">
        <f>'impression (2)'!F70:G70</f>
        <v>0</v>
      </c>
      <c r="G70" s="595"/>
    </row>
    <row r="71" spans="2:7" x14ac:dyDescent="0.25">
      <c r="B71" s="593"/>
      <c r="C71" s="593"/>
      <c r="D71" s="593"/>
      <c r="E71" s="593"/>
      <c r="F71" s="595"/>
      <c r="G71" s="595"/>
    </row>
    <row r="72" spans="2:7" ht="17.25" x14ac:dyDescent="0.3">
      <c r="B72" s="223" t="s">
        <v>199</v>
      </c>
      <c r="C72" s="151"/>
      <c r="D72" s="593"/>
      <c r="E72" s="593"/>
      <c r="F72" s="595"/>
      <c r="G72" s="595"/>
    </row>
    <row r="73" spans="2:7" x14ac:dyDescent="0.25">
      <c r="B73" s="594" t="s">
        <v>200</v>
      </c>
      <c r="C73" s="594"/>
      <c r="D73" s="593">
        <f>Accueil!C30</f>
        <v>0</v>
      </c>
      <c r="E73" s="593"/>
      <c r="F73" s="595">
        <f>'impression (2)'!F73:G73</f>
        <v>0</v>
      </c>
      <c r="G73" s="595"/>
    </row>
    <row r="74" spans="2:7" x14ac:dyDescent="0.25">
      <c r="B74" s="594" t="s">
        <v>201</v>
      </c>
      <c r="C74" s="594"/>
      <c r="D74" s="593"/>
      <c r="E74" s="593"/>
      <c r="F74" s="595"/>
      <c r="G74" s="595"/>
    </row>
    <row r="75" spans="2:7" x14ac:dyDescent="0.25">
      <c r="B75" s="594" t="s">
        <v>192</v>
      </c>
      <c r="C75" s="594"/>
      <c r="D75" s="593"/>
      <c r="E75" s="593"/>
      <c r="F75" s="595"/>
      <c r="G75" s="595"/>
    </row>
    <row r="76" spans="2:7" x14ac:dyDescent="0.25">
      <c r="B76" s="594" t="s">
        <v>202</v>
      </c>
      <c r="C76" s="594"/>
      <c r="D76" s="596" t="e">
        <f>'Fourrages  2019'!I32:I33</f>
        <v>#VALUE!</v>
      </c>
      <c r="E76" s="593"/>
      <c r="F76" s="595" t="e">
        <f>'impression (2)'!F76:G76</f>
        <v>#VALUE!</v>
      </c>
      <c r="G76" s="595"/>
    </row>
    <row r="77" spans="2:7" x14ac:dyDescent="0.25">
      <c r="B77" s="593"/>
      <c r="C77" s="593"/>
      <c r="D77" s="596"/>
      <c r="E77" s="593"/>
      <c r="F77" s="595"/>
      <c r="G77" s="595"/>
    </row>
    <row r="78" spans="2:7" ht="17.25" x14ac:dyDescent="0.3">
      <c r="B78" s="592" t="s">
        <v>203</v>
      </c>
      <c r="C78" s="592"/>
      <c r="D78" s="596"/>
      <c r="E78" s="593"/>
      <c r="F78" s="595"/>
      <c r="G78" s="595"/>
    </row>
    <row r="79" spans="2:7" x14ac:dyDescent="0.25">
      <c r="B79" s="594" t="s">
        <v>200</v>
      </c>
      <c r="C79" s="594"/>
      <c r="D79" s="596"/>
      <c r="E79" s="593"/>
      <c r="F79" s="595"/>
      <c r="G79" s="595"/>
    </row>
    <row r="80" spans="2:7" x14ac:dyDescent="0.25">
      <c r="B80" s="594" t="s">
        <v>111</v>
      </c>
      <c r="C80" s="594"/>
      <c r="D80" s="596"/>
      <c r="E80" s="593"/>
      <c r="F80" s="595"/>
      <c r="G80" s="595"/>
    </row>
    <row r="81" spans="2:7" x14ac:dyDescent="0.25">
      <c r="B81" s="594" t="s">
        <v>44</v>
      </c>
      <c r="C81" s="594"/>
      <c r="D81" s="596"/>
      <c r="E81" s="593"/>
      <c r="F81" s="595"/>
      <c r="G81" s="595"/>
    </row>
    <row r="82" spans="2:7" x14ac:dyDescent="0.25">
      <c r="B82" s="594" t="s">
        <v>202</v>
      </c>
      <c r="C82" s="594"/>
      <c r="D82" s="596" t="e">
        <f>'Fourrages  2019'!I38:I39</f>
        <v>#VALUE!</v>
      </c>
      <c r="E82" s="593"/>
      <c r="F82" s="595" t="e">
        <f>'impression (2)'!F82:G82</f>
        <v>#VALUE!</v>
      </c>
      <c r="G82" s="595"/>
    </row>
    <row r="85" spans="2:7" x14ac:dyDescent="0.25">
      <c r="B85" s="217" t="s">
        <v>221</v>
      </c>
    </row>
    <row r="86" spans="2:7" x14ac:dyDescent="0.25">
      <c r="B86" s="635" t="str">
        <f>'impression (2)'!B86:G90</f>
        <v>0 t de MS ont été achetés en fourrage au lieu de 0 t habituellement et  0 t de MS en paille au lieu de 0 t habituellement.</v>
      </c>
      <c r="C86" s="636"/>
      <c r="D86" s="636"/>
      <c r="E86" s="636"/>
      <c r="F86" s="636"/>
      <c r="G86" s="637"/>
    </row>
    <row r="87" spans="2:7" x14ac:dyDescent="0.25">
      <c r="B87" s="638"/>
      <c r="C87" s="639"/>
      <c r="D87" s="639"/>
      <c r="E87" s="639"/>
      <c r="F87" s="639"/>
      <c r="G87" s="640"/>
    </row>
    <row r="88" spans="2:7" x14ac:dyDescent="0.25">
      <c r="B88" s="638"/>
      <c r="C88" s="639"/>
      <c r="D88" s="639"/>
      <c r="E88" s="639"/>
      <c r="F88" s="639"/>
      <c r="G88" s="640"/>
    </row>
    <row r="89" spans="2:7" x14ac:dyDescent="0.25">
      <c r="B89" s="638"/>
      <c r="C89" s="639"/>
      <c r="D89" s="639"/>
      <c r="E89" s="639"/>
      <c r="F89" s="639"/>
      <c r="G89" s="640"/>
    </row>
    <row r="90" spans="2:7" x14ac:dyDescent="0.25">
      <c r="B90" s="641"/>
      <c r="C90" s="642"/>
      <c r="D90" s="642"/>
      <c r="E90" s="642"/>
      <c r="F90" s="642"/>
      <c r="G90" s="643"/>
    </row>
  </sheetData>
  <mergeCells count="97">
    <mergeCell ref="B86:G90"/>
    <mergeCell ref="A2:G2"/>
    <mergeCell ref="B27:G30"/>
    <mergeCell ref="B33:G35"/>
    <mergeCell ref="B38:G41"/>
    <mergeCell ref="B44:G45"/>
    <mergeCell ref="D61:E61"/>
    <mergeCell ref="F52:G52"/>
    <mergeCell ref="D52:E52"/>
    <mergeCell ref="D53:E53"/>
    <mergeCell ref="F53:G53"/>
    <mergeCell ref="D54:E54"/>
    <mergeCell ref="D55:E55"/>
    <mergeCell ref="D56:E56"/>
    <mergeCell ref="D57:E57"/>
    <mergeCell ref="D58:E58"/>
    <mergeCell ref="D59:E59"/>
    <mergeCell ref="D60:E60"/>
    <mergeCell ref="D73:E73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F66:G66"/>
    <mergeCell ref="D80:E80"/>
    <mergeCell ref="D81:E81"/>
    <mergeCell ref="D82:E82"/>
    <mergeCell ref="F54:G54"/>
    <mergeCell ref="F55:G55"/>
    <mergeCell ref="F56:G56"/>
    <mergeCell ref="F57:G57"/>
    <mergeCell ref="F58:G58"/>
    <mergeCell ref="F59:G59"/>
    <mergeCell ref="F60:G60"/>
    <mergeCell ref="D74:E74"/>
    <mergeCell ref="D75:E75"/>
    <mergeCell ref="D76:E76"/>
    <mergeCell ref="D77:E77"/>
    <mergeCell ref="D78:E78"/>
    <mergeCell ref="F61:G61"/>
    <mergeCell ref="F62:G62"/>
    <mergeCell ref="F63:G63"/>
    <mergeCell ref="F64:G64"/>
    <mergeCell ref="F65:G65"/>
    <mergeCell ref="F78:G78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B53:C53"/>
    <mergeCell ref="B54:C54"/>
    <mergeCell ref="B55:C55"/>
    <mergeCell ref="B56:C56"/>
    <mergeCell ref="B57:C57"/>
    <mergeCell ref="F79:G79"/>
    <mergeCell ref="F80:G80"/>
    <mergeCell ref="F81:G81"/>
    <mergeCell ref="F82:G82"/>
    <mergeCell ref="B82:C82"/>
    <mergeCell ref="D79:E79"/>
    <mergeCell ref="B81:C81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0:C70"/>
    <mergeCell ref="B71:C71"/>
    <mergeCell ref="B73:C73"/>
    <mergeCell ref="B74:C74"/>
    <mergeCell ref="B75:C75"/>
    <mergeCell ref="B76:C76"/>
    <mergeCell ref="B77:C77"/>
    <mergeCell ref="B78:C78"/>
    <mergeCell ref="B79:C79"/>
    <mergeCell ref="B80:C8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showGridLines="0" topLeftCell="A34" workbookViewId="0">
      <selection activeCell="D39" sqref="D39"/>
    </sheetView>
  </sheetViews>
  <sheetFormatPr baseColWidth="10" defaultRowHeight="15" x14ac:dyDescent="0.25"/>
  <cols>
    <col min="1" max="1" width="11.42578125" style="329"/>
    <col min="2" max="2" width="33.5703125" style="329" customWidth="1"/>
    <col min="3" max="3" width="24.42578125" style="329" customWidth="1"/>
    <col min="4" max="4" width="17.85546875" style="329" customWidth="1"/>
    <col min="5" max="5" width="21.140625" style="329" customWidth="1"/>
    <col min="6" max="6" width="19.140625" style="329" customWidth="1"/>
    <col min="7" max="16384" width="11.42578125" style="329"/>
  </cols>
  <sheetData>
    <row r="2" spans="2:6" ht="53.25" customHeight="1" x14ac:dyDescent="0.25">
      <c r="B2" s="421" t="s">
        <v>150</v>
      </c>
      <c r="C2" s="421"/>
      <c r="D2" s="421"/>
      <c r="E2" s="421"/>
      <c r="F2" s="421"/>
    </row>
    <row r="3" spans="2:6" ht="21.75" customHeight="1" x14ac:dyDescent="0.25"/>
    <row r="4" spans="2:6" ht="107.25" customHeight="1" x14ac:dyDescent="0.25">
      <c r="B4" s="431" t="s">
        <v>273</v>
      </c>
      <c r="C4" s="431"/>
      <c r="D4" s="431"/>
      <c r="E4" s="431"/>
      <c r="F4" s="431"/>
    </row>
    <row r="5" spans="2:6" ht="21.75" customHeight="1" x14ac:dyDescent="0.25"/>
    <row r="6" spans="2:6" ht="21.75" customHeight="1" x14ac:dyDescent="0.25"/>
    <row r="7" spans="2:6" ht="18.75" x14ac:dyDescent="0.3">
      <c r="B7" s="330" t="s">
        <v>272</v>
      </c>
      <c r="C7" s="341"/>
      <c r="E7" s="331"/>
      <c r="F7" s="332" t="s">
        <v>225</v>
      </c>
    </row>
    <row r="8" spans="2:6" ht="31.5" customHeight="1" x14ac:dyDescent="0.25"/>
    <row r="9" spans="2:6" x14ac:dyDescent="0.25">
      <c r="B9" s="330" t="s">
        <v>161</v>
      </c>
      <c r="C9" s="339"/>
      <c r="E9" s="330" t="s">
        <v>1</v>
      </c>
      <c r="F9" s="339"/>
    </row>
    <row r="11" spans="2:6" x14ac:dyDescent="0.25">
      <c r="B11" s="330" t="s">
        <v>162</v>
      </c>
      <c r="C11" s="339"/>
      <c r="E11" s="330" t="s">
        <v>164</v>
      </c>
      <c r="F11" s="339"/>
    </row>
    <row r="13" spans="2:6" x14ac:dyDescent="0.25">
      <c r="B13" s="330" t="s">
        <v>163</v>
      </c>
      <c r="C13" s="340"/>
    </row>
    <row r="16" spans="2:6" ht="23.25" x14ac:dyDescent="0.35">
      <c r="B16" s="333" t="s">
        <v>173</v>
      </c>
      <c r="C16" s="334"/>
      <c r="D16" s="335"/>
      <c r="E16" s="330" t="s">
        <v>229</v>
      </c>
      <c r="F16" s="339"/>
    </row>
    <row r="17" spans="2:6" x14ac:dyDescent="0.25">
      <c r="C17" s="336"/>
    </row>
    <row r="18" spans="2:6" x14ac:dyDescent="0.25">
      <c r="B18" s="330" t="s">
        <v>174</v>
      </c>
      <c r="C18" s="339"/>
      <c r="E18" s="330" t="s">
        <v>175</v>
      </c>
      <c r="F18" s="339"/>
    </row>
    <row r="20" spans="2:6" x14ac:dyDescent="0.25">
      <c r="B20" s="330" t="s">
        <v>177</v>
      </c>
      <c r="C20" s="339"/>
    </row>
    <row r="22" spans="2:6" x14ac:dyDescent="0.25">
      <c r="B22" s="330" t="s">
        <v>176</v>
      </c>
      <c r="C22" s="339"/>
    </row>
    <row r="24" spans="2:6" x14ac:dyDescent="0.25">
      <c r="B24" s="330" t="s">
        <v>178</v>
      </c>
      <c r="C24" s="339"/>
    </row>
    <row r="26" spans="2:6" x14ac:dyDescent="0.25">
      <c r="B26" s="330" t="s">
        <v>179</v>
      </c>
      <c r="C26" s="339"/>
    </row>
    <row r="28" spans="2:6" x14ac:dyDescent="0.25">
      <c r="B28" s="330" t="s">
        <v>227</v>
      </c>
      <c r="C28" s="339"/>
    </row>
    <row r="30" spans="2:6" x14ac:dyDescent="0.25">
      <c r="B30" s="330" t="s">
        <v>228</v>
      </c>
      <c r="C30" s="339"/>
    </row>
    <row r="35" spans="2:4" ht="23.25" x14ac:dyDescent="0.35">
      <c r="B35" s="333" t="s">
        <v>223</v>
      </c>
      <c r="C35" s="337"/>
    </row>
    <row r="38" spans="2:4" ht="33.75" customHeight="1" x14ac:dyDescent="0.25">
      <c r="C38" s="342">
        <v>2019</v>
      </c>
      <c r="D38" s="343" t="s">
        <v>271</v>
      </c>
    </row>
    <row r="39" spans="2:4" x14ac:dyDescent="0.25">
      <c r="B39" s="330" t="s">
        <v>194</v>
      </c>
      <c r="C39" s="339"/>
      <c r="D39" s="341"/>
    </row>
    <row r="41" spans="2:4" x14ac:dyDescent="0.25">
      <c r="B41" s="330" t="s">
        <v>230</v>
      </c>
      <c r="C41" s="339"/>
      <c r="D41" s="339"/>
    </row>
    <row r="43" spans="2:4" x14ac:dyDescent="0.25">
      <c r="B43" s="330" t="s">
        <v>224</v>
      </c>
      <c r="C43" s="339"/>
      <c r="D43" s="339"/>
    </row>
    <row r="45" spans="2:4" ht="30" x14ac:dyDescent="0.25">
      <c r="B45" s="338" t="s">
        <v>231</v>
      </c>
      <c r="C45" s="339"/>
      <c r="D45" s="339"/>
    </row>
    <row r="47" spans="2:4" x14ac:dyDescent="0.25">
      <c r="B47" s="330" t="s">
        <v>198</v>
      </c>
      <c r="C47" s="339"/>
      <c r="D47" s="339"/>
    </row>
    <row r="50" spans="2:4" x14ac:dyDescent="0.25">
      <c r="B50" s="330" t="s">
        <v>237</v>
      </c>
    </row>
    <row r="51" spans="2:4" x14ac:dyDescent="0.25">
      <c r="B51" s="422"/>
      <c r="C51" s="423"/>
      <c r="D51" s="424"/>
    </row>
    <row r="52" spans="2:4" x14ac:dyDescent="0.25">
      <c r="B52" s="425"/>
      <c r="C52" s="426"/>
      <c r="D52" s="427"/>
    </row>
    <row r="53" spans="2:4" x14ac:dyDescent="0.25">
      <c r="B53" s="425"/>
      <c r="C53" s="426"/>
      <c r="D53" s="427"/>
    </row>
    <row r="54" spans="2:4" x14ac:dyDescent="0.25">
      <c r="B54" s="425"/>
      <c r="C54" s="426"/>
      <c r="D54" s="427"/>
    </row>
    <row r="55" spans="2:4" x14ac:dyDescent="0.25">
      <c r="B55" s="428"/>
      <c r="C55" s="429"/>
      <c r="D55" s="430"/>
    </row>
  </sheetData>
  <sheetProtection password="E909" sheet="1" objects="1" scenarios="1" selectLockedCells="1"/>
  <mergeCells count="3">
    <mergeCell ref="B2:F2"/>
    <mergeCell ref="B51:D55"/>
    <mergeCell ref="B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opLeftCell="A46" zoomScaleNormal="100" workbookViewId="0">
      <selection activeCell="H17" sqref="H17"/>
    </sheetView>
  </sheetViews>
  <sheetFormatPr baseColWidth="10" defaultColWidth="11.7109375" defaultRowHeight="14.25" x14ac:dyDescent="0.3"/>
  <cols>
    <col min="1" max="1" width="3.28515625" style="92" customWidth="1"/>
    <col min="2" max="2" width="20.5703125" style="92" customWidth="1"/>
    <col min="3" max="3" width="18.28515625" style="92" customWidth="1"/>
    <col min="4" max="5" width="7.7109375" style="92" customWidth="1"/>
    <col min="6" max="6" width="9" style="92" customWidth="1"/>
    <col min="7" max="7" width="14.7109375" style="92" customWidth="1"/>
    <col min="8" max="8" width="11.7109375" style="92" customWidth="1"/>
    <col min="9" max="9" width="15.140625" style="92" customWidth="1"/>
    <col min="10" max="10" width="3.42578125" style="92" customWidth="1"/>
    <col min="11" max="11" width="3.7109375" style="92" customWidth="1"/>
    <col min="12" max="12" width="6.28515625" style="92" customWidth="1"/>
    <col min="13" max="13" width="20.85546875" style="92" customWidth="1"/>
    <col min="14" max="14" width="13.28515625" style="92" customWidth="1"/>
    <col min="15" max="15" width="21.42578125" style="92" customWidth="1"/>
    <col min="16" max="16" width="12.5703125" style="92" customWidth="1"/>
    <col min="17" max="256" width="11.7109375" style="92"/>
    <col min="257" max="257" width="3.28515625" style="92" customWidth="1"/>
    <col min="258" max="258" width="20.5703125" style="92" customWidth="1"/>
    <col min="259" max="259" width="13.85546875" style="92" customWidth="1"/>
    <col min="260" max="261" width="7.7109375" style="92" customWidth="1"/>
    <col min="262" max="262" width="9" style="92" customWidth="1"/>
    <col min="263" max="263" width="14.7109375" style="92" customWidth="1"/>
    <col min="264" max="264" width="11.7109375" style="92" customWidth="1"/>
    <col min="265" max="265" width="15.140625" style="92" customWidth="1"/>
    <col min="266" max="266" width="3.42578125" style="92" customWidth="1"/>
    <col min="267" max="269" width="8.42578125" style="92" customWidth="1"/>
    <col min="270" max="271" width="13.28515625" style="92" customWidth="1"/>
    <col min="272" max="272" width="12.5703125" style="92" customWidth="1"/>
    <col min="273" max="512" width="11.7109375" style="92"/>
    <col min="513" max="513" width="3.28515625" style="92" customWidth="1"/>
    <col min="514" max="514" width="20.5703125" style="92" customWidth="1"/>
    <col min="515" max="515" width="13.85546875" style="92" customWidth="1"/>
    <col min="516" max="517" width="7.7109375" style="92" customWidth="1"/>
    <col min="518" max="518" width="9" style="92" customWidth="1"/>
    <col min="519" max="519" width="14.7109375" style="92" customWidth="1"/>
    <col min="520" max="520" width="11.7109375" style="92" customWidth="1"/>
    <col min="521" max="521" width="15.140625" style="92" customWidth="1"/>
    <col min="522" max="522" width="3.42578125" style="92" customWidth="1"/>
    <col min="523" max="525" width="8.42578125" style="92" customWidth="1"/>
    <col min="526" max="527" width="13.28515625" style="92" customWidth="1"/>
    <col min="528" max="528" width="12.5703125" style="92" customWidth="1"/>
    <col min="529" max="768" width="11.7109375" style="92"/>
    <col min="769" max="769" width="3.28515625" style="92" customWidth="1"/>
    <col min="770" max="770" width="20.5703125" style="92" customWidth="1"/>
    <col min="771" max="771" width="13.85546875" style="92" customWidth="1"/>
    <col min="772" max="773" width="7.7109375" style="92" customWidth="1"/>
    <col min="774" max="774" width="9" style="92" customWidth="1"/>
    <col min="775" max="775" width="14.7109375" style="92" customWidth="1"/>
    <col min="776" max="776" width="11.7109375" style="92" customWidth="1"/>
    <col min="777" max="777" width="15.140625" style="92" customWidth="1"/>
    <col min="778" max="778" width="3.42578125" style="92" customWidth="1"/>
    <col min="779" max="781" width="8.42578125" style="92" customWidth="1"/>
    <col min="782" max="783" width="13.28515625" style="92" customWidth="1"/>
    <col min="784" max="784" width="12.5703125" style="92" customWidth="1"/>
    <col min="785" max="1024" width="11.7109375" style="92"/>
    <col min="1025" max="1025" width="3.28515625" style="92" customWidth="1"/>
    <col min="1026" max="1026" width="20.5703125" style="92" customWidth="1"/>
    <col min="1027" max="1027" width="13.85546875" style="92" customWidth="1"/>
    <col min="1028" max="1029" width="7.7109375" style="92" customWidth="1"/>
    <col min="1030" max="1030" width="9" style="92" customWidth="1"/>
    <col min="1031" max="1031" width="14.7109375" style="92" customWidth="1"/>
    <col min="1032" max="1032" width="11.7109375" style="92" customWidth="1"/>
    <col min="1033" max="1033" width="15.140625" style="92" customWidth="1"/>
    <col min="1034" max="1034" width="3.42578125" style="92" customWidth="1"/>
    <col min="1035" max="1037" width="8.42578125" style="92" customWidth="1"/>
    <col min="1038" max="1039" width="13.28515625" style="92" customWidth="1"/>
    <col min="1040" max="1040" width="12.5703125" style="92" customWidth="1"/>
    <col min="1041" max="1280" width="11.7109375" style="92"/>
    <col min="1281" max="1281" width="3.28515625" style="92" customWidth="1"/>
    <col min="1282" max="1282" width="20.5703125" style="92" customWidth="1"/>
    <col min="1283" max="1283" width="13.85546875" style="92" customWidth="1"/>
    <col min="1284" max="1285" width="7.7109375" style="92" customWidth="1"/>
    <col min="1286" max="1286" width="9" style="92" customWidth="1"/>
    <col min="1287" max="1287" width="14.7109375" style="92" customWidth="1"/>
    <col min="1288" max="1288" width="11.7109375" style="92" customWidth="1"/>
    <col min="1289" max="1289" width="15.140625" style="92" customWidth="1"/>
    <col min="1290" max="1290" width="3.42578125" style="92" customWidth="1"/>
    <col min="1291" max="1293" width="8.42578125" style="92" customWidth="1"/>
    <col min="1294" max="1295" width="13.28515625" style="92" customWidth="1"/>
    <col min="1296" max="1296" width="12.5703125" style="92" customWidth="1"/>
    <col min="1297" max="1536" width="11.7109375" style="92"/>
    <col min="1537" max="1537" width="3.28515625" style="92" customWidth="1"/>
    <col min="1538" max="1538" width="20.5703125" style="92" customWidth="1"/>
    <col min="1539" max="1539" width="13.85546875" style="92" customWidth="1"/>
    <col min="1540" max="1541" width="7.7109375" style="92" customWidth="1"/>
    <col min="1542" max="1542" width="9" style="92" customWidth="1"/>
    <col min="1543" max="1543" width="14.7109375" style="92" customWidth="1"/>
    <col min="1544" max="1544" width="11.7109375" style="92" customWidth="1"/>
    <col min="1545" max="1545" width="15.140625" style="92" customWidth="1"/>
    <col min="1546" max="1546" width="3.42578125" style="92" customWidth="1"/>
    <col min="1547" max="1549" width="8.42578125" style="92" customWidth="1"/>
    <col min="1550" max="1551" width="13.28515625" style="92" customWidth="1"/>
    <col min="1552" max="1552" width="12.5703125" style="92" customWidth="1"/>
    <col min="1553" max="1792" width="11.7109375" style="92"/>
    <col min="1793" max="1793" width="3.28515625" style="92" customWidth="1"/>
    <col min="1794" max="1794" width="20.5703125" style="92" customWidth="1"/>
    <col min="1795" max="1795" width="13.85546875" style="92" customWidth="1"/>
    <col min="1796" max="1797" width="7.7109375" style="92" customWidth="1"/>
    <col min="1798" max="1798" width="9" style="92" customWidth="1"/>
    <col min="1799" max="1799" width="14.7109375" style="92" customWidth="1"/>
    <col min="1800" max="1800" width="11.7109375" style="92" customWidth="1"/>
    <col min="1801" max="1801" width="15.140625" style="92" customWidth="1"/>
    <col min="1802" max="1802" width="3.42578125" style="92" customWidth="1"/>
    <col min="1803" max="1805" width="8.42578125" style="92" customWidth="1"/>
    <col min="1806" max="1807" width="13.28515625" style="92" customWidth="1"/>
    <col min="1808" max="1808" width="12.5703125" style="92" customWidth="1"/>
    <col min="1809" max="2048" width="11.7109375" style="92"/>
    <col min="2049" max="2049" width="3.28515625" style="92" customWidth="1"/>
    <col min="2050" max="2050" width="20.5703125" style="92" customWidth="1"/>
    <col min="2051" max="2051" width="13.85546875" style="92" customWidth="1"/>
    <col min="2052" max="2053" width="7.7109375" style="92" customWidth="1"/>
    <col min="2054" max="2054" width="9" style="92" customWidth="1"/>
    <col min="2055" max="2055" width="14.7109375" style="92" customWidth="1"/>
    <col min="2056" max="2056" width="11.7109375" style="92" customWidth="1"/>
    <col min="2057" max="2057" width="15.140625" style="92" customWidth="1"/>
    <col min="2058" max="2058" width="3.42578125" style="92" customWidth="1"/>
    <col min="2059" max="2061" width="8.42578125" style="92" customWidth="1"/>
    <col min="2062" max="2063" width="13.28515625" style="92" customWidth="1"/>
    <col min="2064" max="2064" width="12.5703125" style="92" customWidth="1"/>
    <col min="2065" max="2304" width="11.7109375" style="92"/>
    <col min="2305" max="2305" width="3.28515625" style="92" customWidth="1"/>
    <col min="2306" max="2306" width="20.5703125" style="92" customWidth="1"/>
    <col min="2307" max="2307" width="13.85546875" style="92" customWidth="1"/>
    <col min="2308" max="2309" width="7.7109375" style="92" customWidth="1"/>
    <col min="2310" max="2310" width="9" style="92" customWidth="1"/>
    <col min="2311" max="2311" width="14.7109375" style="92" customWidth="1"/>
    <col min="2312" max="2312" width="11.7109375" style="92" customWidth="1"/>
    <col min="2313" max="2313" width="15.140625" style="92" customWidth="1"/>
    <col min="2314" max="2314" width="3.42578125" style="92" customWidth="1"/>
    <col min="2315" max="2317" width="8.42578125" style="92" customWidth="1"/>
    <col min="2318" max="2319" width="13.28515625" style="92" customWidth="1"/>
    <col min="2320" max="2320" width="12.5703125" style="92" customWidth="1"/>
    <col min="2321" max="2560" width="11.7109375" style="92"/>
    <col min="2561" max="2561" width="3.28515625" style="92" customWidth="1"/>
    <col min="2562" max="2562" width="20.5703125" style="92" customWidth="1"/>
    <col min="2563" max="2563" width="13.85546875" style="92" customWidth="1"/>
    <col min="2564" max="2565" width="7.7109375" style="92" customWidth="1"/>
    <col min="2566" max="2566" width="9" style="92" customWidth="1"/>
    <col min="2567" max="2567" width="14.7109375" style="92" customWidth="1"/>
    <col min="2568" max="2568" width="11.7109375" style="92" customWidth="1"/>
    <col min="2569" max="2569" width="15.140625" style="92" customWidth="1"/>
    <col min="2570" max="2570" width="3.42578125" style="92" customWidth="1"/>
    <col min="2571" max="2573" width="8.42578125" style="92" customWidth="1"/>
    <col min="2574" max="2575" width="13.28515625" style="92" customWidth="1"/>
    <col min="2576" max="2576" width="12.5703125" style="92" customWidth="1"/>
    <col min="2577" max="2816" width="11.7109375" style="92"/>
    <col min="2817" max="2817" width="3.28515625" style="92" customWidth="1"/>
    <col min="2818" max="2818" width="20.5703125" style="92" customWidth="1"/>
    <col min="2819" max="2819" width="13.85546875" style="92" customWidth="1"/>
    <col min="2820" max="2821" width="7.7109375" style="92" customWidth="1"/>
    <col min="2822" max="2822" width="9" style="92" customWidth="1"/>
    <col min="2823" max="2823" width="14.7109375" style="92" customWidth="1"/>
    <col min="2824" max="2824" width="11.7109375" style="92" customWidth="1"/>
    <col min="2825" max="2825" width="15.140625" style="92" customWidth="1"/>
    <col min="2826" max="2826" width="3.42578125" style="92" customWidth="1"/>
    <col min="2827" max="2829" width="8.42578125" style="92" customWidth="1"/>
    <col min="2830" max="2831" width="13.28515625" style="92" customWidth="1"/>
    <col min="2832" max="2832" width="12.5703125" style="92" customWidth="1"/>
    <col min="2833" max="3072" width="11.7109375" style="92"/>
    <col min="3073" max="3073" width="3.28515625" style="92" customWidth="1"/>
    <col min="3074" max="3074" width="20.5703125" style="92" customWidth="1"/>
    <col min="3075" max="3075" width="13.85546875" style="92" customWidth="1"/>
    <col min="3076" max="3077" width="7.7109375" style="92" customWidth="1"/>
    <col min="3078" max="3078" width="9" style="92" customWidth="1"/>
    <col min="3079" max="3079" width="14.7109375" style="92" customWidth="1"/>
    <col min="3080" max="3080" width="11.7109375" style="92" customWidth="1"/>
    <col min="3081" max="3081" width="15.140625" style="92" customWidth="1"/>
    <col min="3082" max="3082" width="3.42578125" style="92" customWidth="1"/>
    <col min="3083" max="3085" width="8.42578125" style="92" customWidth="1"/>
    <col min="3086" max="3087" width="13.28515625" style="92" customWidth="1"/>
    <col min="3088" max="3088" width="12.5703125" style="92" customWidth="1"/>
    <col min="3089" max="3328" width="11.7109375" style="92"/>
    <col min="3329" max="3329" width="3.28515625" style="92" customWidth="1"/>
    <col min="3330" max="3330" width="20.5703125" style="92" customWidth="1"/>
    <col min="3331" max="3331" width="13.85546875" style="92" customWidth="1"/>
    <col min="3332" max="3333" width="7.7109375" style="92" customWidth="1"/>
    <col min="3334" max="3334" width="9" style="92" customWidth="1"/>
    <col min="3335" max="3335" width="14.7109375" style="92" customWidth="1"/>
    <col min="3336" max="3336" width="11.7109375" style="92" customWidth="1"/>
    <col min="3337" max="3337" width="15.140625" style="92" customWidth="1"/>
    <col min="3338" max="3338" width="3.42578125" style="92" customWidth="1"/>
    <col min="3339" max="3341" width="8.42578125" style="92" customWidth="1"/>
    <col min="3342" max="3343" width="13.28515625" style="92" customWidth="1"/>
    <col min="3344" max="3344" width="12.5703125" style="92" customWidth="1"/>
    <col min="3345" max="3584" width="11.7109375" style="92"/>
    <col min="3585" max="3585" width="3.28515625" style="92" customWidth="1"/>
    <col min="3586" max="3586" width="20.5703125" style="92" customWidth="1"/>
    <col min="3587" max="3587" width="13.85546875" style="92" customWidth="1"/>
    <col min="3588" max="3589" width="7.7109375" style="92" customWidth="1"/>
    <col min="3590" max="3590" width="9" style="92" customWidth="1"/>
    <col min="3591" max="3591" width="14.7109375" style="92" customWidth="1"/>
    <col min="3592" max="3592" width="11.7109375" style="92" customWidth="1"/>
    <col min="3593" max="3593" width="15.140625" style="92" customWidth="1"/>
    <col min="3594" max="3594" width="3.42578125" style="92" customWidth="1"/>
    <col min="3595" max="3597" width="8.42578125" style="92" customWidth="1"/>
    <col min="3598" max="3599" width="13.28515625" style="92" customWidth="1"/>
    <col min="3600" max="3600" width="12.5703125" style="92" customWidth="1"/>
    <col min="3601" max="3840" width="11.7109375" style="92"/>
    <col min="3841" max="3841" width="3.28515625" style="92" customWidth="1"/>
    <col min="3842" max="3842" width="20.5703125" style="92" customWidth="1"/>
    <col min="3843" max="3843" width="13.85546875" style="92" customWidth="1"/>
    <col min="3844" max="3845" width="7.7109375" style="92" customWidth="1"/>
    <col min="3846" max="3846" width="9" style="92" customWidth="1"/>
    <col min="3847" max="3847" width="14.7109375" style="92" customWidth="1"/>
    <col min="3848" max="3848" width="11.7109375" style="92" customWidth="1"/>
    <col min="3849" max="3849" width="15.140625" style="92" customWidth="1"/>
    <col min="3850" max="3850" width="3.42578125" style="92" customWidth="1"/>
    <col min="3851" max="3853" width="8.42578125" style="92" customWidth="1"/>
    <col min="3854" max="3855" width="13.28515625" style="92" customWidth="1"/>
    <col min="3856" max="3856" width="12.5703125" style="92" customWidth="1"/>
    <col min="3857" max="4096" width="11.7109375" style="92"/>
    <col min="4097" max="4097" width="3.28515625" style="92" customWidth="1"/>
    <col min="4098" max="4098" width="20.5703125" style="92" customWidth="1"/>
    <col min="4099" max="4099" width="13.85546875" style="92" customWidth="1"/>
    <col min="4100" max="4101" width="7.7109375" style="92" customWidth="1"/>
    <col min="4102" max="4102" width="9" style="92" customWidth="1"/>
    <col min="4103" max="4103" width="14.7109375" style="92" customWidth="1"/>
    <col min="4104" max="4104" width="11.7109375" style="92" customWidth="1"/>
    <col min="4105" max="4105" width="15.140625" style="92" customWidth="1"/>
    <col min="4106" max="4106" width="3.42578125" style="92" customWidth="1"/>
    <col min="4107" max="4109" width="8.42578125" style="92" customWidth="1"/>
    <col min="4110" max="4111" width="13.28515625" style="92" customWidth="1"/>
    <col min="4112" max="4112" width="12.5703125" style="92" customWidth="1"/>
    <col min="4113" max="4352" width="11.7109375" style="92"/>
    <col min="4353" max="4353" width="3.28515625" style="92" customWidth="1"/>
    <col min="4354" max="4354" width="20.5703125" style="92" customWidth="1"/>
    <col min="4355" max="4355" width="13.85546875" style="92" customWidth="1"/>
    <col min="4356" max="4357" width="7.7109375" style="92" customWidth="1"/>
    <col min="4358" max="4358" width="9" style="92" customWidth="1"/>
    <col min="4359" max="4359" width="14.7109375" style="92" customWidth="1"/>
    <col min="4360" max="4360" width="11.7109375" style="92" customWidth="1"/>
    <col min="4361" max="4361" width="15.140625" style="92" customWidth="1"/>
    <col min="4362" max="4362" width="3.42578125" style="92" customWidth="1"/>
    <col min="4363" max="4365" width="8.42578125" style="92" customWidth="1"/>
    <col min="4366" max="4367" width="13.28515625" style="92" customWidth="1"/>
    <col min="4368" max="4368" width="12.5703125" style="92" customWidth="1"/>
    <col min="4369" max="4608" width="11.7109375" style="92"/>
    <col min="4609" max="4609" width="3.28515625" style="92" customWidth="1"/>
    <col min="4610" max="4610" width="20.5703125" style="92" customWidth="1"/>
    <col min="4611" max="4611" width="13.85546875" style="92" customWidth="1"/>
    <col min="4612" max="4613" width="7.7109375" style="92" customWidth="1"/>
    <col min="4614" max="4614" width="9" style="92" customWidth="1"/>
    <col min="4615" max="4615" width="14.7109375" style="92" customWidth="1"/>
    <col min="4616" max="4616" width="11.7109375" style="92" customWidth="1"/>
    <col min="4617" max="4617" width="15.140625" style="92" customWidth="1"/>
    <col min="4618" max="4618" width="3.42578125" style="92" customWidth="1"/>
    <col min="4619" max="4621" width="8.42578125" style="92" customWidth="1"/>
    <col min="4622" max="4623" width="13.28515625" style="92" customWidth="1"/>
    <col min="4624" max="4624" width="12.5703125" style="92" customWidth="1"/>
    <col min="4625" max="4864" width="11.7109375" style="92"/>
    <col min="4865" max="4865" width="3.28515625" style="92" customWidth="1"/>
    <col min="4866" max="4866" width="20.5703125" style="92" customWidth="1"/>
    <col min="4867" max="4867" width="13.85546875" style="92" customWidth="1"/>
    <col min="4868" max="4869" width="7.7109375" style="92" customWidth="1"/>
    <col min="4870" max="4870" width="9" style="92" customWidth="1"/>
    <col min="4871" max="4871" width="14.7109375" style="92" customWidth="1"/>
    <col min="4872" max="4872" width="11.7109375" style="92" customWidth="1"/>
    <col min="4873" max="4873" width="15.140625" style="92" customWidth="1"/>
    <col min="4874" max="4874" width="3.42578125" style="92" customWidth="1"/>
    <col min="4875" max="4877" width="8.42578125" style="92" customWidth="1"/>
    <col min="4878" max="4879" width="13.28515625" style="92" customWidth="1"/>
    <col min="4880" max="4880" width="12.5703125" style="92" customWidth="1"/>
    <col min="4881" max="5120" width="11.7109375" style="92"/>
    <col min="5121" max="5121" width="3.28515625" style="92" customWidth="1"/>
    <col min="5122" max="5122" width="20.5703125" style="92" customWidth="1"/>
    <col min="5123" max="5123" width="13.85546875" style="92" customWidth="1"/>
    <col min="5124" max="5125" width="7.7109375" style="92" customWidth="1"/>
    <col min="5126" max="5126" width="9" style="92" customWidth="1"/>
    <col min="5127" max="5127" width="14.7109375" style="92" customWidth="1"/>
    <col min="5128" max="5128" width="11.7109375" style="92" customWidth="1"/>
    <col min="5129" max="5129" width="15.140625" style="92" customWidth="1"/>
    <col min="5130" max="5130" width="3.42578125" style="92" customWidth="1"/>
    <col min="5131" max="5133" width="8.42578125" style="92" customWidth="1"/>
    <col min="5134" max="5135" width="13.28515625" style="92" customWidth="1"/>
    <col min="5136" max="5136" width="12.5703125" style="92" customWidth="1"/>
    <col min="5137" max="5376" width="11.7109375" style="92"/>
    <col min="5377" max="5377" width="3.28515625" style="92" customWidth="1"/>
    <col min="5378" max="5378" width="20.5703125" style="92" customWidth="1"/>
    <col min="5379" max="5379" width="13.85546875" style="92" customWidth="1"/>
    <col min="5380" max="5381" width="7.7109375" style="92" customWidth="1"/>
    <col min="5382" max="5382" width="9" style="92" customWidth="1"/>
    <col min="5383" max="5383" width="14.7109375" style="92" customWidth="1"/>
    <col min="5384" max="5384" width="11.7109375" style="92" customWidth="1"/>
    <col min="5385" max="5385" width="15.140625" style="92" customWidth="1"/>
    <col min="5386" max="5386" width="3.42578125" style="92" customWidth="1"/>
    <col min="5387" max="5389" width="8.42578125" style="92" customWidth="1"/>
    <col min="5390" max="5391" width="13.28515625" style="92" customWidth="1"/>
    <col min="5392" max="5392" width="12.5703125" style="92" customWidth="1"/>
    <col min="5393" max="5632" width="11.7109375" style="92"/>
    <col min="5633" max="5633" width="3.28515625" style="92" customWidth="1"/>
    <col min="5634" max="5634" width="20.5703125" style="92" customWidth="1"/>
    <col min="5635" max="5635" width="13.85546875" style="92" customWidth="1"/>
    <col min="5636" max="5637" width="7.7109375" style="92" customWidth="1"/>
    <col min="5638" max="5638" width="9" style="92" customWidth="1"/>
    <col min="5639" max="5639" width="14.7109375" style="92" customWidth="1"/>
    <col min="5640" max="5640" width="11.7109375" style="92" customWidth="1"/>
    <col min="5641" max="5641" width="15.140625" style="92" customWidth="1"/>
    <col min="5642" max="5642" width="3.42578125" style="92" customWidth="1"/>
    <col min="5643" max="5645" width="8.42578125" style="92" customWidth="1"/>
    <col min="5646" max="5647" width="13.28515625" style="92" customWidth="1"/>
    <col min="5648" max="5648" width="12.5703125" style="92" customWidth="1"/>
    <col min="5649" max="5888" width="11.7109375" style="92"/>
    <col min="5889" max="5889" width="3.28515625" style="92" customWidth="1"/>
    <col min="5890" max="5890" width="20.5703125" style="92" customWidth="1"/>
    <col min="5891" max="5891" width="13.85546875" style="92" customWidth="1"/>
    <col min="5892" max="5893" width="7.7109375" style="92" customWidth="1"/>
    <col min="5894" max="5894" width="9" style="92" customWidth="1"/>
    <col min="5895" max="5895" width="14.7109375" style="92" customWidth="1"/>
    <col min="5896" max="5896" width="11.7109375" style="92" customWidth="1"/>
    <col min="5897" max="5897" width="15.140625" style="92" customWidth="1"/>
    <col min="5898" max="5898" width="3.42578125" style="92" customWidth="1"/>
    <col min="5899" max="5901" width="8.42578125" style="92" customWidth="1"/>
    <col min="5902" max="5903" width="13.28515625" style="92" customWidth="1"/>
    <col min="5904" max="5904" width="12.5703125" style="92" customWidth="1"/>
    <col min="5905" max="6144" width="11.7109375" style="92"/>
    <col min="6145" max="6145" width="3.28515625" style="92" customWidth="1"/>
    <col min="6146" max="6146" width="20.5703125" style="92" customWidth="1"/>
    <col min="6147" max="6147" width="13.85546875" style="92" customWidth="1"/>
    <col min="6148" max="6149" width="7.7109375" style="92" customWidth="1"/>
    <col min="6150" max="6150" width="9" style="92" customWidth="1"/>
    <col min="6151" max="6151" width="14.7109375" style="92" customWidth="1"/>
    <col min="6152" max="6152" width="11.7109375" style="92" customWidth="1"/>
    <col min="6153" max="6153" width="15.140625" style="92" customWidth="1"/>
    <col min="6154" max="6154" width="3.42578125" style="92" customWidth="1"/>
    <col min="6155" max="6157" width="8.42578125" style="92" customWidth="1"/>
    <col min="6158" max="6159" width="13.28515625" style="92" customWidth="1"/>
    <col min="6160" max="6160" width="12.5703125" style="92" customWidth="1"/>
    <col min="6161" max="6400" width="11.7109375" style="92"/>
    <col min="6401" max="6401" width="3.28515625" style="92" customWidth="1"/>
    <col min="6402" max="6402" width="20.5703125" style="92" customWidth="1"/>
    <col min="6403" max="6403" width="13.85546875" style="92" customWidth="1"/>
    <col min="6404" max="6405" width="7.7109375" style="92" customWidth="1"/>
    <col min="6406" max="6406" width="9" style="92" customWidth="1"/>
    <col min="6407" max="6407" width="14.7109375" style="92" customWidth="1"/>
    <col min="6408" max="6408" width="11.7109375" style="92" customWidth="1"/>
    <col min="6409" max="6409" width="15.140625" style="92" customWidth="1"/>
    <col min="6410" max="6410" width="3.42578125" style="92" customWidth="1"/>
    <col min="6411" max="6413" width="8.42578125" style="92" customWidth="1"/>
    <col min="6414" max="6415" width="13.28515625" style="92" customWidth="1"/>
    <col min="6416" max="6416" width="12.5703125" style="92" customWidth="1"/>
    <col min="6417" max="6656" width="11.7109375" style="92"/>
    <col min="6657" max="6657" width="3.28515625" style="92" customWidth="1"/>
    <col min="6658" max="6658" width="20.5703125" style="92" customWidth="1"/>
    <col min="6659" max="6659" width="13.85546875" style="92" customWidth="1"/>
    <col min="6660" max="6661" width="7.7109375" style="92" customWidth="1"/>
    <col min="6662" max="6662" width="9" style="92" customWidth="1"/>
    <col min="6663" max="6663" width="14.7109375" style="92" customWidth="1"/>
    <col min="6664" max="6664" width="11.7109375" style="92" customWidth="1"/>
    <col min="6665" max="6665" width="15.140625" style="92" customWidth="1"/>
    <col min="6666" max="6666" width="3.42578125" style="92" customWidth="1"/>
    <col min="6667" max="6669" width="8.42578125" style="92" customWidth="1"/>
    <col min="6670" max="6671" width="13.28515625" style="92" customWidth="1"/>
    <col min="6672" max="6672" width="12.5703125" style="92" customWidth="1"/>
    <col min="6673" max="6912" width="11.7109375" style="92"/>
    <col min="6913" max="6913" width="3.28515625" style="92" customWidth="1"/>
    <col min="6914" max="6914" width="20.5703125" style="92" customWidth="1"/>
    <col min="6915" max="6915" width="13.85546875" style="92" customWidth="1"/>
    <col min="6916" max="6917" width="7.7109375" style="92" customWidth="1"/>
    <col min="6918" max="6918" width="9" style="92" customWidth="1"/>
    <col min="6919" max="6919" width="14.7109375" style="92" customWidth="1"/>
    <col min="6920" max="6920" width="11.7109375" style="92" customWidth="1"/>
    <col min="6921" max="6921" width="15.140625" style="92" customWidth="1"/>
    <col min="6922" max="6922" width="3.42578125" style="92" customWidth="1"/>
    <col min="6923" max="6925" width="8.42578125" style="92" customWidth="1"/>
    <col min="6926" max="6927" width="13.28515625" style="92" customWidth="1"/>
    <col min="6928" max="6928" width="12.5703125" style="92" customWidth="1"/>
    <col min="6929" max="7168" width="11.7109375" style="92"/>
    <col min="7169" max="7169" width="3.28515625" style="92" customWidth="1"/>
    <col min="7170" max="7170" width="20.5703125" style="92" customWidth="1"/>
    <col min="7171" max="7171" width="13.85546875" style="92" customWidth="1"/>
    <col min="7172" max="7173" width="7.7109375" style="92" customWidth="1"/>
    <col min="7174" max="7174" width="9" style="92" customWidth="1"/>
    <col min="7175" max="7175" width="14.7109375" style="92" customWidth="1"/>
    <col min="7176" max="7176" width="11.7109375" style="92" customWidth="1"/>
    <col min="7177" max="7177" width="15.140625" style="92" customWidth="1"/>
    <col min="7178" max="7178" width="3.42578125" style="92" customWidth="1"/>
    <col min="7179" max="7181" width="8.42578125" style="92" customWidth="1"/>
    <col min="7182" max="7183" width="13.28515625" style="92" customWidth="1"/>
    <col min="7184" max="7184" width="12.5703125" style="92" customWidth="1"/>
    <col min="7185" max="7424" width="11.7109375" style="92"/>
    <col min="7425" max="7425" width="3.28515625" style="92" customWidth="1"/>
    <col min="7426" max="7426" width="20.5703125" style="92" customWidth="1"/>
    <col min="7427" max="7427" width="13.85546875" style="92" customWidth="1"/>
    <col min="7428" max="7429" width="7.7109375" style="92" customWidth="1"/>
    <col min="7430" max="7430" width="9" style="92" customWidth="1"/>
    <col min="7431" max="7431" width="14.7109375" style="92" customWidth="1"/>
    <col min="7432" max="7432" width="11.7109375" style="92" customWidth="1"/>
    <col min="7433" max="7433" width="15.140625" style="92" customWidth="1"/>
    <col min="7434" max="7434" width="3.42578125" style="92" customWidth="1"/>
    <col min="7435" max="7437" width="8.42578125" style="92" customWidth="1"/>
    <col min="7438" max="7439" width="13.28515625" style="92" customWidth="1"/>
    <col min="7440" max="7440" width="12.5703125" style="92" customWidth="1"/>
    <col min="7441" max="7680" width="11.7109375" style="92"/>
    <col min="7681" max="7681" width="3.28515625" style="92" customWidth="1"/>
    <col min="7682" max="7682" width="20.5703125" style="92" customWidth="1"/>
    <col min="7683" max="7683" width="13.85546875" style="92" customWidth="1"/>
    <col min="7684" max="7685" width="7.7109375" style="92" customWidth="1"/>
    <col min="7686" max="7686" width="9" style="92" customWidth="1"/>
    <col min="7687" max="7687" width="14.7109375" style="92" customWidth="1"/>
    <col min="7688" max="7688" width="11.7109375" style="92" customWidth="1"/>
    <col min="7689" max="7689" width="15.140625" style="92" customWidth="1"/>
    <col min="7690" max="7690" width="3.42578125" style="92" customWidth="1"/>
    <col min="7691" max="7693" width="8.42578125" style="92" customWidth="1"/>
    <col min="7694" max="7695" width="13.28515625" style="92" customWidth="1"/>
    <col min="7696" max="7696" width="12.5703125" style="92" customWidth="1"/>
    <col min="7697" max="7936" width="11.7109375" style="92"/>
    <col min="7937" max="7937" width="3.28515625" style="92" customWidth="1"/>
    <col min="7938" max="7938" width="20.5703125" style="92" customWidth="1"/>
    <col min="7939" max="7939" width="13.85546875" style="92" customWidth="1"/>
    <col min="7940" max="7941" width="7.7109375" style="92" customWidth="1"/>
    <col min="7942" max="7942" width="9" style="92" customWidth="1"/>
    <col min="7943" max="7943" width="14.7109375" style="92" customWidth="1"/>
    <col min="7944" max="7944" width="11.7109375" style="92" customWidth="1"/>
    <col min="7945" max="7945" width="15.140625" style="92" customWidth="1"/>
    <col min="7946" max="7946" width="3.42578125" style="92" customWidth="1"/>
    <col min="7947" max="7949" width="8.42578125" style="92" customWidth="1"/>
    <col min="7950" max="7951" width="13.28515625" style="92" customWidth="1"/>
    <col min="7952" max="7952" width="12.5703125" style="92" customWidth="1"/>
    <col min="7953" max="8192" width="11.7109375" style="92"/>
    <col min="8193" max="8193" width="3.28515625" style="92" customWidth="1"/>
    <col min="8194" max="8194" width="20.5703125" style="92" customWidth="1"/>
    <col min="8195" max="8195" width="13.85546875" style="92" customWidth="1"/>
    <col min="8196" max="8197" width="7.7109375" style="92" customWidth="1"/>
    <col min="8198" max="8198" width="9" style="92" customWidth="1"/>
    <col min="8199" max="8199" width="14.7109375" style="92" customWidth="1"/>
    <col min="8200" max="8200" width="11.7109375" style="92" customWidth="1"/>
    <col min="8201" max="8201" width="15.140625" style="92" customWidth="1"/>
    <col min="8202" max="8202" width="3.42578125" style="92" customWidth="1"/>
    <col min="8203" max="8205" width="8.42578125" style="92" customWidth="1"/>
    <col min="8206" max="8207" width="13.28515625" style="92" customWidth="1"/>
    <col min="8208" max="8208" width="12.5703125" style="92" customWidth="1"/>
    <col min="8209" max="8448" width="11.7109375" style="92"/>
    <col min="8449" max="8449" width="3.28515625" style="92" customWidth="1"/>
    <col min="8450" max="8450" width="20.5703125" style="92" customWidth="1"/>
    <col min="8451" max="8451" width="13.85546875" style="92" customWidth="1"/>
    <col min="8452" max="8453" width="7.7109375" style="92" customWidth="1"/>
    <col min="8454" max="8454" width="9" style="92" customWidth="1"/>
    <col min="8455" max="8455" width="14.7109375" style="92" customWidth="1"/>
    <col min="8456" max="8456" width="11.7109375" style="92" customWidth="1"/>
    <col min="8457" max="8457" width="15.140625" style="92" customWidth="1"/>
    <col min="8458" max="8458" width="3.42578125" style="92" customWidth="1"/>
    <col min="8459" max="8461" width="8.42578125" style="92" customWidth="1"/>
    <col min="8462" max="8463" width="13.28515625" style="92" customWidth="1"/>
    <col min="8464" max="8464" width="12.5703125" style="92" customWidth="1"/>
    <col min="8465" max="8704" width="11.7109375" style="92"/>
    <col min="8705" max="8705" width="3.28515625" style="92" customWidth="1"/>
    <col min="8706" max="8706" width="20.5703125" style="92" customWidth="1"/>
    <col min="8707" max="8707" width="13.85546875" style="92" customWidth="1"/>
    <col min="8708" max="8709" width="7.7109375" style="92" customWidth="1"/>
    <col min="8710" max="8710" width="9" style="92" customWidth="1"/>
    <col min="8711" max="8711" width="14.7109375" style="92" customWidth="1"/>
    <col min="8712" max="8712" width="11.7109375" style="92" customWidth="1"/>
    <col min="8713" max="8713" width="15.140625" style="92" customWidth="1"/>
    <col min="8714" max="8714" width="3.42578125" style="92" customWidth="1"/>
    <col min="8715" max="8717" width="8.42578125" style="92" customWidth="1"/>
    <col min="8718" max="8719" width="13.28515625" style="92" customWidth="1"/>
    <col min="8720" max="8720" width="12.5703125" style="92" customWidth="1"/>
    <col min="8721" max="8960" width="11.7109375" style="92"/>
    <col min="8961" max="8961" width="3.28515625" style="92" customWidth="1"/>
    <col min="8962" max="8962" width="20.5703125" style="92" customWidth="1"/>
    <col min="8963" max="8963" width="13.85546875" style="92" customWidth="1"/>
    <col min="8964" max="8965" width="7.7109375" style="92" customWidth="1"/>
    <col min="8966" max="8966" width="9" style="92" customWidth="1"/>
    <col min="8967" max="8967" width="14.7109375" style="92" customWidth="1"/>
    <col min="8968" max="8968" width="11.7109375" style="92" customWidth="1"/>
    <col min="8969" max="8969" width="15.140625" style="92" customWidth="1"/>
    <col min="8970" max="8970" width="3.42578125" style="92" customWidth="1"/>
    <col min="8971" max="8973" width="8.42578125" style="92" customWidth="1"/>
    <col min="8974" max="8975" width="13.28515625" style="92" customWidth="1"/>
    <col min="8976" max="8976" width="12.5703125" style="92" customWidth="1"/>
    <col min="8977" max="9216" width="11.7109375" style="92"/>
    <col min="9217" max="9217" width="3.28515625" style="92" customWidth="1"/>
    <col min="9218" max="9218" width="20.5703125" style="92" customWidth="1"/>
    <col min="9219" max="9219" width="13.85546875" style="92" customWidth="1"/>
    <col min="9220" max="9221" width="7.7109375" style="92" customWidth="1"/>
    <col min="9222" max="9222" width="9" style="92" customWidth="1"/>
    <col min="9223" max="9223" width="14.7109375" style="92" customWidth="1"/>
    <col min="9224" max="9224" width="11.7109375" style="92" customWidth="1"/>
    <col min="9225" max="9225" width="15.140625" style="92" customWidth="1"/>
    <col min="9226" max="9226" width="3.42578125" style="92" customWidth="1"/>
    <col min="9227" max="9229" width="8.42578125" style="92" customWidth="1"/>
    <col min="9230" max="9231" width="13.28515625" style="92" customWidth="1"/>
    <col min="9232" max="9232" width="12.5703125" style="92" customWidth="1"/>
    <col min="9233" max="9472" width="11.7109375" style="92"/>
    <col min="9473" max="9473" width="3.28515625" style="92" customWidth="1"/>
    <col min="9474" max="9474" width="20.5703125" style="92" customWidth="1"/>
    <col min="9475" max="9475" width="13.85546875" style="92" customWidth="1"/>
    <col min="9476" max="9477" width="7.7109375" style="92" customWidth="1"/>
    <col min="9478" max="9478" width="9" style="92" customWidth="1"/>
    <col min="9479" max="9479" width="14.7109375" style="92" customWidth="1"/>
    <col min="9480" max="9480" width="11.7109375" style="92" customWidth="1"/>
    <col min="9481" max="9481" width="15.140625" style="92" customWidth="1"/>
    <col min="9482" max="9482" width="3.42578125" style="92" customWidth="1"/>
    <col min="9483" max="9485" width="8.42578125" style="92" customWidth="1"/>
    <col min="9486" max="9487" width="13.28515625" style="92" customWidth="1"/>
    <col min="9488" max="9488" width="12.5703125" style="92" customWidth="1"/>
    <col min="9489" max="9728" width="11.7109375" style="92"/>
    <col min="9729" max="9729" width="3.28515625" style="92" customWidth="1"/>
    <col min="9730" max="9730" width="20.5703125" style="92" customWidth="1"/>
    <col min="9731" max="9731" width="13.85546875" style="92" customWidth="1"/>
    <col min="9732" max="9733" width="7.7109375" style="92" customWidth="1"/>
    <col min="9734" max="9734" width="9" style="92" customWidth="1"/>
    <col min="9735" max="9735" width="14.7109375" style="92" customWidth="1"/>
    <col min="9736" max="9736" width="11.7109375" style="92" customWidth="1"/>
    <col min="9737" max="9737" width="15.140625" style="92" customWidth="1"/>
    <col min="9738" max="9738" width="3.42578125" style="92" customWidth="1"/>
    <col min="9739" max="9741" width="8.42578125" style="92" customWidth="1"/>
    <col min="9742" max="9743" width="13.28515625" style="92" customWidth="1"/>
    <col min="9744" max="9744" width="12.5703125" style="92" customWidth="1"/>
    <col min="9745" max="9984" width="11.7109375" style="92"/>
    <col min="9985" max="9985" width="3.28515625" style="92" customWidth="1"/>
    <col min="9986" max="9986" width="20.5703125" style="92" customWidth="1"/>
    <col min="9987" max="9987" width="13.85546875" style="92" customWidth="1"/>
    <col min="9988" max="9989" width="7.7109375" style="92" customWidth="1"/>
    <col min="9990" max="9990" width="9" style="92" customWidth="1"/>
    <col min="9991" max="9991" width="14.7109375" style="92" customWidth="1"/>
    <col min="9992" max="9992" width="11.7109375" style="92" customWidth="1"/>
    <col min="9993" max="9993" width="15.140625" style="92" customWidth="1"/>
    <col min="9994" max="9994" width="3.42578125" style="92" customWidth="1"/>
    <col min="9995" max="9997" width="8.42578125" style="92" customWidth="1"/>
    <col min="9998" max="9999" width="13.28515625" style="92" customWidth="1"/>
    <col min="10000" max="10000" width="12.5703125" style="92" customWidth="1"/>
    <col min="10001" max="10240" width="11.7109375" style="92"/>
    <col min="10241" max="10241" width="3.28515625" style="92" customWidth="1"/>
    <col min="10242" max="10242" width="20.5703125" style="92" customWidth="1"/>
    <col min="10243" max="10243" width="13.85546875" style="92" customWidth="1"/>
    <col min="10244" max="10245" width="7.7109375" style="92" customWidth="1"/>
    <col min="10246" max="10246" width="9" style="92" customWidth="1"/>
    <col min="10247" max="10247" width="14.7109375" style="92" customWidth="1"/>
    <col min="10248" max="10248" width="11.7109375" style="92" customWidth="1"/>
    <col min="10249" max="10249" width="15.140625" style="92" customWidth="1"/>
    <col min="10250" max="10250" width="3.42578125" style="92" customWidth="1"/>
    <col min="10251" max="10253" width="8.42578125" style="92" customWidth="1"/>
    <col min="10254" max="10255" width="13.28515625" style="92" customWidth="1"/>
    <col min="10256" max="10256" width="12.5703125" style="92" customWidth="1"/>
    <col min="10257" max="10496" width="11.7109375" style="92"/>
    <col min="10497" max="10497" width="3.28515625" style="92" customWidth="1"/>
    <col min="10498" max="10498" width="20.5703125" style="92" customWidth="1"/>
    <col min="10499" max="10499" width="13.85546875" style="92" customWidth="1"/>
    <col min="10500" max="10501" width="7.7109375" style="92" customWidth="1"/>
    <col min="10502" max="10502" width="9" style="92" customWidth="1"/>
    <col min="10503" max="10503" width="14.7109375" style="92" customWidth="1"/>
    <col min="10504" max="10504" width="11.7109375" style="92" customWidth="1"/>
    <col min="10505" max="10505" width="15.140625" style="92" customWidth="1"/>
    <col min="10506" max="10506" width="3.42578125" style="92" customWidth="1"/>
    <col min="10507" max="10509" width="8.42578125" style="92" customWidth="1"/>
    <col min="10510" max="10511" width="13.28515625" style="92" customWidth="1"/>
    <col min="10512" max="10512" width="12.5703125" style="92" customWidth="1"/>
    <col min="10513" max="10752" width="11.7109375" style="92"/>
    <col min="10753" max="10753" width="3.28515625" style="92" customWidth="1"/>
    <col min="10754" max="10754" width="20.5703125" style="92" customWidth="1"/>
    <col min="10755" max="10755" width="13.85546875" style="92" customWidth="1"/>
    <col min="10756" max="10757" width="7.7109375" style="92" customWidth="1"/>
    <col min="10758" max="10758" width="9" style="92" customWidth="1"/>
    <col min="10759" max="10759" width="14.7109375" style="92" customWidth="1"/>
    <col min="10760" max="10760" width="11.7109375" style="92" customWidth="1"/>
    <col min="10761" max="10761" width="15.140625" style="92" customWidth="1"/>
    <col min="10762" max="10762" width="3.42578125" style="92" customWidth="1"/>
    <col min="10763" max="10765" width="8.42578125" style="92" customWidth="1"/>
    <col min="10766" max="10767" width="13.28515625" style="92" customWidth="1"/>
    <col min="10768" max="10768" width="12.5703125" style="92" customWidth="1"/>
    <col min="10769" max="11008" width="11.7109375" style="92"/>
    <col min="11009" max="11009" width="3.28515625" style="92" customWidth="1"/>
    <col min="11010" max="11010" width="20.5703125" style="92" customWidth="1"/>
    <col min="11011" max="11011" width="13.85546875" style="92" customWidth="1"/>
    <col min="11012" max="11013" width="7.7109375" style="92" customWidth="1"/>
    <col min="11014" max="11014" width="9" style="92" customWidth="1"/>
    <col min="11015" max="11015" width="14.7109375" style="92" customWidth="1"/>
    <col min="11016" max="11016" width="11.7109375" style="92" customWidth="1"/>
    <col min="11017" max="11017" width="15.140625" style="92" customWidth="1"/>
    <col min="11018" max="11018" width="3.42578125" style="92" customWidth="1"/>
    <col min="11019" max="11021" width="8.42578125" style="92" customWidth="1"/>
    <col min="11022" max="11023" width="13.28515625" style="92" customWidth="1"/>
    <col min="11024" max="11024" width="12.5703125" style="92" customWidth="1"/>
    <col min="11025" max="11264" width="11.7109375" style="92"/>
    <col min="11265" max="11265" width="3.28515625" style="92" customWidth="1"/>
    <col min="11266" max="11266" width="20.5703125" style="92" customWidth="1"/>
    <col min="11267" max="11267" width="13.85546875" style="92" customWidth="1"/>
    <col min="11268" max="11269" width="7.7109375" style="92" customWidth="1"/>
    <col min="11270" max="11270" width="9" style="92" customWidth="1"/>
    <col min="11271" max="11271" width="14.7109375" style="92" customWidth="1"/>
    <col min="11272" max="11272" width="11.7109375" style="92" customWidth="1"/>
    <col min="11273" max="11273" width="15.140625" style="92" customWidth="1"/>
    <col min="11274" max="11274" width="3.42578125" style="92" customWidth="1"/>
    <col min="11275" max="11277" width="8.42578125" style="92" customWidth="1"/>
    <col min="11278" max="11279" width="13.28515625" style="92" customWidth="1"/>
    <col min="11280" max="11280" width="12.5703125" style="92" customWidth="1"/>
    <col min="11281" max="11520" width="11.7109375" style="92"/>
    <col min="11521" max="11521" width="3.28515625" style="92" customWidth="1"/>
    <col min="11522" max="11522" width="20.5703125" style="92" customWidth="1"/>
    <col min="11523" max="11523" width="13.85546875" style="92" customWidth="1"/>
    <col min="11524" max="11525" width="7.7109375" style="92" customWidth="1"/>
    <col min="11526" max="11526" width="9" style="92" customWidth="1"/>
    <col min="11527" max="11527" width="14.7109375" style="92" customWidth="1"/>
    <col min="11528" max="11528" width="11.7109375" style="92" customWidth="1"/>
    <col min="11529" max="11529" width="15.140625" style="92" customWidth="1"/>
    <col min="11530" max="11530" width="3.42578125" style="92" customWidth="1"/>
    <col min="11531" max="11533" width="8.42578125" style="92" customWidth="1"/>
    <col min="11534" max="11535" width="13.28515625" style="92" customWidth="1"/>
    <col min="11536" max="11536" width="12.5703125" style="92" customWidth="1"/>
    <col min="11537" max="11776" width="11.7109375" style="92"/>
    <col min="11777" max="11777" width="3.28515625" style="92" customWidth="1"/>
    <col min="11778" max="11778" width="20.5703125" style="92" customWidth="1"/>
    <col min="11779" max="11779" width="13.85546875" style="92" customWidth="1"/>
    <col min="11780" max="11781" width="7.7109375" style="92" customWidth="1"/>
    <col min="11782" max="11782" width="9" style="92" customWidth="1"/>
    <col min="11783" max="11783" width="14.7109375" style="92" customWidth="1"/>
    <col min="11784" max="11784" width="11.7109375" style="92" customWidth="1"/>
    <col min="11785" max="11785" width="15.140625" style="92" customWidth="1"/>
    <col min="11786" max="11786" width="3.42578125" style="92" customWidth="1"/>
    <col min="11787" max="11789" width="8.42578125" style="92" customWidth="1"/>
    <col min="11790" max="11791" width="13.28515625" style="92" customWidth="1"/>
    <col min="11792" max="11792" width="12.5703125" style="92" customWidth="1"/>
    <col min="11793" max="12032" width="11.7109375" style="92"/>
    <col min="12033" max="12033" width="3.28515625" style="92" customWidth="1"/>
    <col min="12034" max="12034" width="20.5703125" style="92" customWidth="1"/>
    <col min="12035" max="12035" width="13.85546875" style="92" customWidth="1"/>
    <col min="12036" max="12037" width="7.7109375" style="92" customWidth="1"/>
    <col min="12038" max="12038" width="9" style="92" customWidth="1"/>
    <col min="12039" max="12039" width="14.7109375" style="92" customWidth="1"/>
    <col min="12040" max="12040" width="11.7109375" style="92" customWidth="1"/>
    <col min="12041" max="12041" width="15.140625" style="92" customWidth="1"/>
    <col min="12042" max="12042" width="3.42578125" style="92" customWidth="1"/>
    <col min="12043" max="12045" width="8.42578125" style="92" customWidth="1"/>
    <col min="12046" max="12047" width="13.28515625" style="92" customWidth="1"/>
    <col min="12048" max="12048" width="12.5703125" style="92" customWidth="1"/>
    <col min="12049" max="12288" width="11.7109375" style="92"/>
    <col min="12289" max="12289" width="3.28515625" style="92" customWidth="1"/>
    <col min="12290" max="12290" width="20.5703125" style="92" customWidth="1"/>
    <col min="12291" max="12291" width="13.85546875" style="92" customWidth="1"/>
    <col min="12292" max="12293" width="7.7109375" style="92" customWidth="1"/>
    <col min="12294" max="12294" width="9" style="92" customWidth="1"/>
    <col min="12295" max="12295" width="14.7109375" style="92" customWidth="1"/>
    <col min="12296" max="12296" width="11.7109375" style="92" customWidth="1"/>
    <col min="12297" max="12297" width="15.140625" style="92" customWidth="1"/>
    <col min="12298" max="12298" width="3.42578125" style="92" customWidth="1"/>
    <col min="12299" max="12301" width="8.42578125" style="92" customWidth="1"/>
    <col min="12302" max="12303" width="13.28515625" style="92" customWidth="1"/>
    <col min="12304" max="12304" width="12.5703125" style="92" customWidth="1"/>
    <col min="12305" max="12544" width="11.7109375" style="92"/>
    <col min="12545" max="12545" width="3.28515625" style="92" customWidth="1"/>
    <col min="12546" max="12546" width="20.5703125" style="92" customWidth="1"/>
    <col min="12547" max="12547" width="13.85546875" style="92" customWidth="1"/>
    <col min="12548" max="12549" width="7.7109375" style="92" customWidth="1"/>
    <col min="12550" max="12550" width="9" style="92" customWidth="1"/>
    <col min="12551" max="12551" width="14.7109375" style="92" customWidth="1"/>
    <col min="12552" max="12552" width="11.7109375" style="92" customWidth="1"/>
    <col min="12553" max="12553" width="15.140625" style="92" customWidth="1"/>
    <col min="12554" max="12554" width="3.42578125" style="92" customWidth="1"/>
    <col min="12555" max="12557" width="8.42578125" style="92" customWidth="1"/>
    <col min="12558" max="12559" width="13.28515625" style="92" customWidth="1"/>
    <col min="12560" max="12560" width="12.5703125" style="92" customWidth="1"/>
    <col min="12561" max="12800" width="11.7109375" style="92"/>
    <col min="12801" max="12801" width="3.28515625" style="92" customWidth="1"/>
    <col min="12802" max="12802" width="20.5703125" style="92" customWidth="1"/>
    <col min="12803" max="12803" width="13.85546875" style="92" customWidth="1"/>
    <col min="12804" max="12805" width="7.7109375" style="92" customWidth="1"/>
    <col min="12806" max="12806" width="9" style="92" customWidth="1"/>
    <col min="12807" max="12807" width="14.7109375" style="92" customWidth="1"/>
    <col min="12808" max="12808" width="11.7109375" style="92" customWidth="1"/>
    <col min="12809" max="12809" width="15.140625" style="92" customWidth="1"/>
    <col min="12810" max="12810" width="3.42578125" style="92" customWidth="1"/>
    <col min="12811" max="12813" width="8.42578125" style="92" customWidth="1"/>
    <col min="12814" max="12815" width="13.28515625" style="92" customWidth="1"/>
    <col min="12816" max="12816" width="12.5703125" style="92" customWidth="1"/>
    <col min="12817" max="13056" width="11.7109375" style="92"/>
    <col min="13057" max="13057" width="3.28515625" style="92" customWidth="1"/>
    <col min="13058" max="13058" width="20.5703125" style="92" customWidth="1"/>
    <col min="13059" max="13059" width="13.85546875" style="92" customWidth="1"/>
    <col min="13060" max="13061" width="7.7109375" style="92" customWidth="1"/>
    <col min="13062" max="13062" width="9" style="92" customWidth="1"/>
    <col min="13063" max="13063" width="14.7109375" style="92" customWidth="1"/>
    <col min="13064" max="13064" width="11.7109375" style="92" customWidth="1"/>
    <col min="13065" max="13065" width="15.140625" style="92" customWidth="1"/>
    <col min="13066" max="13066" width="3.42578125" style="92" customWidth="1"/>
    <col min="13067" max="13069" width="8.42578125" style="92" customWidth="1"/>
    <col min="13070" max="13071" width="13.28515625" style="92" customWidth="1"/>
    <col min="13072" max="13072" width="12.5703125" style="92" customWidth="1"/>
    <col min="13073" max="13312" width="11.7109375" style="92"/>
    <col min="13313" max="13313" width="3.28515625" style="92" customWidth="1"/>
    <col min="13314" max="13314" width="20.5703125" style="92" customWidth="1"/>
    <col min="13315" max="13315" width="13.85546875" style="92" customWidth="1"/>
    <col min="13316" max="13317" width="7.7109375" style="92" customWidth="1"/>
    <col min="13318" max="13318" width="9" style="92" customWidth="1"/>
    <col min="13319" max="13319" width="14.7109375" style="92" customWidth="1"/>
    <col min="13320" max="13320" width="11.7109375" style="92" customWidth="1"/>
    <col min="13321" max="13321" width="15.140625" style="92" customWidth="1"/>
    <col min="13322" max="13322" width="3.42578125" style="92" customWidth="1"/>
    <col min="13323" max="13325" width="8.42578125" style="92" customWidth="1"/>
    <col min="13326" max="13327" width="13.28515625" style="92" customWidth="1"/>
    <col min="13328" max="13328" width="12.5703125" style="92" customWidth="1"/>
    <col min="13329" max="13568" width="11.7109375" style="92"/>
    <col min="13569" max="13569" width="3.28515625" style="92" customWidth="1"/>
    <col min="13570" max="13570" width="20.5703125" style="92" customWidth="1"/>
    <col min="13571" max="13571" width="13.85546875" style="92" customWidth="1"/>
    <col min="13572" max="13573" width="7.7109375" style="92" customWidth="1"/>
    <col min="13574" max="13574" width="9" style="92" customWidth="1"/>
    <col min="13575" max="13575" width="14.7109375" style="92" customWidth="1"/>
    <col min="13576" max="13576" width="11.7109375" style="92" customWidth="1"/>
    <col min="13577" max="13577" width="15.140625" style="92" customWidth="1"/>
    <col min="13578" max="13578" width="3.42578125" style="92" customWidth="1"/>
    <col min="13579" max="13581" width="8.42578125" style="92" customWidth="1"/>
    <col min="13582" max="13583" width="13.28515625" style="92" customWidth="1"/>
    <col min="13584" max="13584" width="12.5703125" style="92" customWidth="1"/>
    <col min="13585" max="13824" width="11.7109375" style="92"/>
    <col min="13825" max="13825" width="3.28515625" style="92" customWidth="1"/>
    <col min="13826" max="13826" width="20.5703125" style="92" customWidth="1"/>
    <col min="13827" max="13827" width="13.85546875" style="92" customWidth="1"/>
    <col min="13828" max="13829" width="7.7109375" style="92" customWidth="1"/>
    <col min="13830" max="13830" width="9" style="92" customWidth="1"/>
    <col min="13831" max="13831" width="14.7109375" style="92" customWidth="1"/>
    <col min="13832" max="13832" width="11.7109375" style="92" customWidth="1"/>
    <col min="13833" max="13833" width="15.140625" style="92" customWidth="1"/>
    <col min="13834" max="13834" width="3.42578125" style="92" customWidth="1"/>
    <col min="13835" max="13837" width="8.42578125" style="92" customWidth="1"/>
    <col min="13838" max="13839" width="13.28515625" style="92" customWidth="1"/>
    <col min="13840" max="13840" width="12.5703125" style="92" customWidth="1"/>
    <col min="13841" max="14080" width="11.7109375" style="92"/>
    <col min="14081" max="14081" width="3.28515625" style="92" customWidth="1"/>
    <col min="14082" max="14082" width="20.5703125" style="92" customWidth="1"/>
    <col min="14083" max="14083" width="13.85546875" style="92" customWidth="1"/>
    <col min="14084" max="14085" width="7.7109375" style="92" customWidth="1"/>
    <col min="14086" max="14086" width="9" style="92" customWidth="1"/>
    <col min="14087" max="14087" width="14.7109375" style="92" customWidth="1"/>
    <col min="14088" max="14088" width="11.7109375" style="92" customWidth="1"/>
    <col min="14089" max="14089" width="15.140625" style="92" customWidth="1"/>
    <col min="14090" max="14090" width="3.42578125" style="92" customWidth="1"/>
    <col min="14091" max="14093" width="8.42578125" style="92" customWidth="1"/>
    <col min="14094" max="14095" width="13.28515625" style="92" customWidth="1"/>
    <col min="14096" max="14096" width="12.5703125" style="92" customWidth="1"/>
    <col min="14097" max="14336" width="11.7109375" style="92"/>
    <col min="14337" max="14337" width="3.28515625" style="92" customWidth="1"/>
    <col min="14338" max="14338" width="20.5703125" style="92" customWidth="1"/>
    <col min="14339" max="14339" width="13.85546875" style="92" customWidth="1"/>
    <col min="14340" max="14341" width="7.7109375" style="92" customWidth="1"/>
    <col min="14342" max="14342" width="9" style="92" customWidth="1"/>
    <col min="14343" max="14343" width="14.7109375" style="92" customWidth="1"/>
    <col min="14344" max="14344" width="11.7109375" style="92" customWidth="1"/>
    <col min="14345" max="14345" width="15.140625" style="92" customWidth="1"/>
    <col min="14346" max="14346" width="3.42578125" style="92" customWidth="1"/>
    <col min="14347" max="14349" width="8.42578125" style="92" customWidth="1"/>
    <col min="14350" max="14351" width="13.28515625" style="92" customWidth="1"/>
    <col min="14352" max="14352" width="12.5703125" style="92" customWidth="1"/>
    <col min="14353" max="14592" width="11.7109375" style="92"/>
    <col min="14593" max="14593" width="3.28515625" style="92" customWidth="1"/>
    <col min="14594" max="14594" width="20.5703125" style="92" customWidth="1"/>
    <col min="14595" max="14595" width="13.85546875" style="92" customWidth="1"/>
    <col min="14596" max="14597" width="7.7109375" style="92" customWidth="1"/>
    <col min="14598" max="14598" width="9" style="92" customWidth="1"/>
    <col min="14599" max="14599" width="14.7109375" style="92" customWidth="1"/>
    <col min="14600" max="14600" width="11.7109375" style="92" customWidth="1"/>
    <col min="14601" max="14601" width="15.140625" style="92" customWidth="1"/>
    <col min="14602" max="14602" width="3.42578125" style="92" customWidth="1"/>
    <col min="14603" max="14605" width="8.42578125" style="92" customWidth="1"/>
    <col min="14606" max="14607" width="13.28515625" style="92" customWidth="1"/>
    <col min="14608" max="14608" width="12.5703125" style="92" customWidth="1"/>
    <col min="14609" max="14848" width="11.7109375" style="92"/>
    <col min="14849" max="14849" width="3.28515625" style="92" customWidth="1"/>
    <col min="14850" max="14850" width="20.5703125" style="92" customWidth="1"/>
    <col min="14851" max="14851" width="13.85546875" style="92" customWidth="1"/>
    <col min="14852" max="14853" width="7.7109375" style="92" customWidth="1"/>
    <col min="14854" max="14854" width="9" style="92" customWidth="1"/>
    <col min="14855" max="14855" width="14.7109375" style="92" customWidth="1"/>
    <col min="14856" max="14856" width="11.7109375" style="92" customWidth="1"/>
    <col min="14857" max="14857" width="15.140625" style="92" customWidth="1"/>
    <col min="14858" max="14858" width="3.42578125" style="92" customWidth="1"/>
    <col min="14859" max="14861" width="8.42578125" style="92" customWidth="1"/>
    <col min="14862" max="14863" width="13.28515625" style="92" customWidth="1"/>
    <col min="14864" max="14864" width="12.5703125" style="92" customWidth="1"/>
    <col min="14865" max="15104" width="11.7109375" style="92"/>
    <col min="15105" max="15105" width="3.28515625" style="92" customWidth="1"/>
    <col min="15106" max="15106" width="20.5703125" style="92" customWidth="1"/>
    <col min="15107" max="15107" width="13.85546875" style="92" customWidth="1"/>
    <col min="15108" max="15109" width="7.7109375" style="92" customWidth="1"/>
    <col min="15110" max="15110" width="9" style="92" customWidth="1"/>
    <col min="15111" max="15111" width="14.7109375" style="92" customWidth="1"/>
    <col min="15112" max="15112" width="11.7109375" style="92" customWidth="1"/>
    <col min="15113" max="15113" width="15.140625" style="92" customWidth="1"/>
    <col min="15114" max="15114" width="3.42578125" style="92" customWidth="1"/>
    <col min="15115" max="15117" width="8.42578125" style="92" customWidth="1"/>
    <col min="15118" max="15119" width="13.28515625" style="92" customWidth="1"/>
    <col min="15120" max="15120" width="12.5703125" style="92" customWidth="1"/>
    <col min="15121" max="15360" width="11.7109375" style="92"/>
    <col min="15361" max="15361" width="3.28515625" style="92" customWidth="1"/>
    <col min="15362" max="15362" width="20.5703125" style="92" customWidth="1"/>
    <col min="15363" max="15363" width="13.85546875" style="92" customWidth="1"/>
    <col min="15364" max="15365" width="7.7109375" style="92" customWidth="1"/>
    <col min="15366" max="15366" width="9" style="92" customWidth="1"/>
    <col min="15367" max="15367" width="14.7109375" style="92" customWidth="1"/>
    <col min="15368" max="15368" width="11.7109375" style="92" customWidth="1"/>
    <col min="15369" max="15369" width="15.140625" style="92" customWidth="1"/>
    <col min="15370" max="15370" width="3.42578125" style="92" customWidth="1"/>
    <col min="15371" max="15373" width="8.42578125" style="92" customWidth="1"/>
    <col min="15374" max="15375" width="13.28515625" style="92" customWidth="1"/>
    <col min="15376" max="15376" width="12.5703125" style="92" customWidth="1"/>
    <col min="15377" max="15616" width="11.7109375" style="92"/>
    <col min="15617" max="15617" width="3.28515625" style="92" customWidth="1"/>
    <col min="15618" max="15618" width="20.5703125" style="92" customWidth="1"/>
    <col min="15619" max="15619" width="13.85546875" style="92" customWidth="1"/>
    <col min="15620" max="15621" width="7.7109375" style="92" customWidth="1"/>
    <col min="15622" max="15622" width="9" style="92" customWidth="1"/>
    <col min="15623" max="15623" width="14.7109375" style="92" customWidth="1"/>
    <col min="15624" max="15624" width="11.7109375" style="92" customWidth="1"/>
    <col min="15625" max="15625" width="15.140625" style="92" customWidth="1"/>
    <col min="15626" max="15626" width="3.42578125" style="92" customWidth="1"/>
    <col min="15627" max="15629" width="8.42578125" style="92" customWidth="1"/>
    <col min="15630" max="15631" width="13.28515625" style="92" customWidth="1"/>
    <col min="15632" max="15632" width="12.5703125" style="92" customWidth="1"/>
    <col min="15633" max="15872" width="11.7109375" style="92"/>
    <col min="15873" max="15873" width="3.28515625" style="92" customWidth="1"/>
    <col min="15874" max="15874" width="20.5703125" style="92" customWidth="1"/>
    <col min="15875" max="15875" width="13.85546875" style="92" customWidth="1"/>
    <col min="15876" max="15877" width="7.7109375" style="92" customWidth="1"/>
    <col min="15878" max="15878" width="9" style="92" customWidth="1"/>
    <col min="15879" max="15879" width="14.7109375" style="92" customWidth="1"/>
    <col min="15880" max="15880" width="11.7109375" style="92" customWidth="1"/>
    <col min="15881" max="15881" width="15.140625" style="92" customWidth="1"/>
    <col min="15882" max="15882" width="3.42578125" style="92" customWidth="1"/>
    <col min="15883" max="15885" width="8.42578125" style="92" customWidth="1"/>
    <col min="15886" max="15887" width="13.28515625" style="92" customWidth="1"/>
    <col min="15888" max="15888" width="12.5703125" style="92" customWidth="1"/>
    <col min="15889" max="16128" width="11.7109375" style="92"/>
    <col min="16129" max="16129" width="3.28515625" style="92" customWidth="1"/>
    <col min="16130" max="16130" width="20.5703125" style="92" customWidth="1"/>
    <col min="16131" max="16131" width="13.85546875" style="92" customWidth="1"/>
    <col min="16132" max="16133" width="7.7109375" style="92" customWidth="1"/>
    <col min="16134" max="16134" width="9" style="92" customWidth="1"/>
    <col min="16135" max="16135" width="14.7109375" style="92" customWidth="1"/>
    <col min="16136" max="16136" width="11.7109375" style="92" customWidth="1"/>
    <col min="16137" max="16137" width="15.140625" style="92" customWidth="1"/>
    <col min="16138" max="16138" width="3.42578125" style="92" customWidth="1"/>
    <col min="16139" max="16141" width="8.42578125" style="92" customWidth="1"/>
    <col min="16142" max="16143" width="13.28515625" style="92" customWidth="1"/>
    <col min="16144" max="16144" width="12.5703125" style="92" customWidth="1"/>
    <col min="16145" max="16384" width="11.7109375" style="92"/>
  </cols>
  <sheetData>
    <row r="1" spans="1:12" x14ac:dyDescent="0.3">
      <c r="B1" s="246"/>
      <c r="C1" s="246"/>
      <c r="D1" s="246"/>
      <c r="E1" s="246"/>
      <c r="F1" s="246"/>
      <c r="G1" s="246"/>
      <c r="H1" s="246"/>
      <c r="I1" s="246"/>
    </row>
    <row r="2" spans="1:12" ht="20.25" x14ac:dyDescent="0.3">
      <c r="B2" s="252" t="s">
        <v>92</v>
      </c>
      <c r="C2" s="253"/>
      <c r="D2" s="253"/>
      <c r="E2" s="246"/>
      <c r="F2" s="246"/>
      <c r="G2" s="246"/>
      <c r="H2" s="246"/>
      <c r="I2" s="246"/>
    </row>
    <row r="3" spans="1:12" ht="20.25" x14ac:dyDescent="0.3">
      <c r="B3" s="254"/>
      <c r="C3" s="255"/>
      <c r="D3" s="255"/>
      <c r="E3" s="246"/>
      <c r="F3" s="246"/>
      <c r="G3" s="246"/>
      <c r="H3" s="246"/>
      <c r="I3" s="246"/>
    </row>
    <row r="4" spans="1:12" ht="15" thickBot="1" x14ac:dyDescent="0.35">
      <c r="B4" s="6" t="s">
        <v>0</v>
      </c>
      <c r="C4" s="255"/>
      <c r="D4" s="122" t="s">
        <v>2</v>
      </c>
      <c r="E4" s="246"/>
      <c r="F4" s="246"/>
      <c r="G4" s="246"/>
      <c r="H4" s="5" t="s">
        <v>1</v>
      </c>
      <c r="I4" s="246"/>
    </row>
    <row r="5" spans="1:12" ht="16.5" thickBot="1" x14ac:dyDescent="0.35">
      <c r="B5" s="256">
        <f>Accueil!C11</f>
        <v>0</v>
      </c>
      <c r="C5" s="255"/>
      <c r="D5" s="513">
        <f>Accueil!F9</f>
        <v>0</v>
      </c>
      <c r="E5" s="514"/>
      <c r="F5" s="521"/>
      <c r="G5" s="246"/>
      <c r="H5" s="513">
        <f>Accueil!F9</f>
        <v>0</v>
      </c>
      <c r="I5" s="514"/>
      <c r="J5" s="121"/>
    </row>
    <row r="6" spans="1:12" ht="24" customHeight="1" thickBot="1" x14ac:dyDescent="0.35">
      <c r="B6" s="257"/>
      <c r="C6" s="246"/>
      <c r="D6" s="246"/>
      <c r="E6" s="246"/>
      <c r="F6" s="246"/>
      <c r="G6" s="246"/>
      <c r="H6" s="246"/>
      <c r="I6" s="246"/>
      <c r="L6" s="6"/>
    </row>
    <row r="7" spans="1:12" ht="45.75" customHeight="1" thickBot="1" x14ac:dyDescent="0.35">
      <c r="B7" s="258" t="s">
        <v>232</v>
      </c>
      <c r="C7" s="259"/>
      <c r="D7" s="259"/>
      <c r="E7" s="259"/>
      <c r="F7" s="259"/>
      <c r="G7" s="259"/>
      <c r="H7" s="259"/>
      <c r="I7" s="260" t="s">
        <v>94</v>
      </c>
      <c r="J7" s="246"/>
    </row>
    <row r="8" spans="1:12" ht="25.5" customHeight="1" x14ac:dyDescent="0.3">
      <c r="A8" s="246"/>
      <c r="B8" s="468" t="s">
        <v>95</v>
      </c>
      <c r="C8" s="488" t="s">
        <v>130</v>
      </c>
      <c r="D8" s="518" t="s">
        <v>96</v>
      </c>
      <c r="E8" s="519"/>
      <c r="F8" s="519"/>
      <c r="G8" s="241" t="s">
        <v>97</v>
      </c>
      <c r="H8" s="242" t="s">
        <v>98</v>
      </c>
      <c r="I8" s="479">
        <f>IF(AND(G9&gt;0,H9&gt;0),(H9*G9*0.85)/1000,0)</f>
        <v>0</v>
      </c>
    </row>
    <row r="9" spans="1:12" ht="15" thickBot="1" x14ac:dyDescent="0.35">
      <c r="A9" s="246"/>
      <c r="B9" s="469"/>
      <c r="C9" s="489"/>
      <c r="D9" s="481">
        <v>1.3</v>
      </c>
      <c r="E9" s="482"/>
      <c r="F9" s="482"/>
      <c r="G9" s="243">
        <f>IF(D9&gt;0,(130*(D9*D9))/0.85,"")</f>
        <v>258.47058823529414</v>
      </c>
      <c r="H9" s="128"/>
      <c r="I9" s="480"/>
    </row>
    <row r="10" spans="1:12" ht="25.5" x14ac:dyDescent="0.3">
      <c r="A10" s="246"/>
      <c r="B10" s="469"/>
      <c r="C10" s="486" t="s">
        <v>131</v>
      </c>
      <c r="D10" s="438" t="s">
        <v>96</v>
      </c>
      <c r="E10" s="485"/>
      <c r="F10" s="485"/>
      <c r="G10" s="261" t="s">
        <v>97</v>
      </c>
      <c r="H10" s="262" t="s">
        <v>98</v>
      </c>
      <c r="I10" s="500">
        <f>IF(AND(G11&gt;0,H11&gt;0),(H11*G11*0.85)/1000,0)</f>
        <v>0</v>
      </c>
    </row>
    <row r="11" spans="1:12" ht="15" thickBot="1" x14ac:dyDescent="0.35">
      <c r="A11" s="246"/>
      <c r="B11" s="469"/>
      <c r="C11" s="487"/>
      <c r="D11" s="470">
        <v>1.5</v>
      </c>
      <c r="E11" s="471"/>
      <c r="F11" s="471"/>
      <c r="G11" s="264">
        <f>IF(D11&gt;0,(130*(D11*D11))/0.85,"")</f>
        <v>344.11764705882354</v>
      </c>
      <c r="H11" s="131"/>
      <c r="I11" s="501"/>
    </row>
    <row r="12" spans="1:12" ht="25.5" x14ac:dyDescent="0.3">
      <c r="A12" s="246"/>
      <c r="B12" s="469"/>
      <c r="C12" s="511" t="s">
        <v>99</v>
      </c>
      <c r="D12" s="515" t="s">
        <v>100</v>
      </c>
      <c r="E12" s="516"/>
      <c r="F12" s="517"/>
      <c r="G12" s="129" t="s">
        <v>97</v>
      </c>
      <c r="H12" s="130" t="s">
        <v>98</v>
      </c>
      <c r="I12" s="512">
        <f>IF(AND(G13&gt;0,H13&gt;0),(H13*G13*0.85)/1000,0)</f>
        <v>0</v>
      </c>
    </row>
    <row r="13" spans="1:12" ht="15" customHeight="1" thickBot="1" x14ac:dyDescent="0.35">
      <c r="A13" s="246"/>
      <c r="B13" s="469"/>
      <c r="C13" s="489"/>
      <c r="D13" s="123">
        <v>0</v>
      </c>
      <c r="E13" s="124">
        <v>0</v>
      </c>
      <c r="F13" s="125">
        <v>0</v>
      </c>
      <c r="G13" s="126" t="str">
        <f>IF(AND(D13&gt;0,E13&gt;0,F13&gt;0),(165*(D13*E13*F13))/0.85,"")</f>
        <v/>
      </c>
      <c r="H13" s="127">
        <v>0</v>
      </c>
      <c r="I13" s="480"/>
    </row>
    <row r="14" spans="1:12" ht="25.5" customHeight="1" x14ac:dyDescent="0.3">
      <c r="A14" s="246"/>
      <c r="B14" s="469"/>
      <c r="C14" s="486" t="s">
        <v>132</v>
      </c>
      <c r="D14" s="458" t="s">
        <v>100</v>
      </c>
      <c r="E14" s="459"/>
      <c r="F14" s="460"/>
      <c r="G14" s="261" t="s">
        <v>97</v>
      </c>
      <c r="H14" s="262" t="s">
        <v>98</v>
      </c>
      <c r="I14" s="500">
        <f>IF(AND(G15&gt;0,H15&gt;0),(H15*G15*0.85)/1000,0)</f>
        <v>0</v>
      </c>
    </row>
    <row r="15" spans="1:12" ht="15" customHeight="1" thickBot="1" x14ac:dyDescent="0.35">
      <c r="A15" s="246"/>
      <c r="B15" s="510"/>
      <c r="C15" s="492"/>
      <c r="D15" s="132">
        <v>0</v>
      </c>
      <c r="E15" s="133">
        <v>0</v>
      </c>
      <c r="F15" s="134">
        <v>0</v>
      </c>
      <c r="G15" s="263" t="str">
        <f>IF(AND(D15&gt;0,E15&gt;0,F15&gt;0),(165*(D15*E15*F15))/0.85,"")</f>
        <v/>
      </c>
      <c r="H15" s="135">
        <v>0</v>
      </c>
      <c r="I15" s="501"/>
    </row>
    <row r="16" spans="1:12" ht="25.5" x14ac:dyDescent="0.3">
      <c r="A16" s="246"/>
      <c r="B16" s="468" t="s">
        <v>101</v>
      </c>
      <c r="C16" s="488" t="s">
        <v>5</v>
      </c>
      <c r="D16" s="490" t="s">
        <v>96</v>
      </c>
      <c r="E16" s="491"/>
      <c r="F16" s="491"/>
      <c r="G16" s="136" t="s">
        <v>97</v>
      </c>
      <c r="H16" s="137" t="s">
        <v>98</v>
      </c>
      <c r="I16" s="479">
        <f>IF(AND(G17&gt;0,H17&gt;0),(H17*G17*0.9)/1000,0)</f>
        <v>0</v>
      </c>
    </row>
    <row r="17" spans="1:9" ht="15" customHeight="1" thickBot="1" x14ac:dyDescent="0.35">
      <c r="A17" s="246"/>
      <c r="B17" s="469"/>
      <c r="C17" s="489"/>
      <c r="D17" s="481">
        <v>1.2</v>
      </c>
      <c r="E17" s="482"/>
      <c r="F17" s="482"/>
      <c r="G17" s="243">
        <f>IF(D17&gt;0,(120*(D17*D17))/0.9,"")</f>
        <v>191.99999999999997</v>
      </c>
      <c r="H17" s="128">
        <v>0</v>
      </c>
      <c r="I17" s="480"/>
    </row>
    <row r="18" spans="1:9" ht="25.5" x14ac:dyDescent="0.3">
      <c r="A18" s="246"/>
      <c r="B18" s="469"/>
      <c r="C18" s="472" t="s">
        <v>5</v>
      </c>
      <c r="D18" s="438" t="s">
        <v>96</v>
      </c>
      <c r="E18" s="485"/>
      <c r="F18" s="485"/>
      <c r="G18" s="261" t="s">
        <v>97</v>
      </c>
      <c r="H18" s="262" t="s">
        <v>98</v>
      </c>
      <c r="I18" s="500">
        <f>IF(AND(G19&gt;0,H19&gt;0),(H19*G19*0.9)/1000,0)</f>
        <v>0</v>
      </c>
    </row>
    <row r="19" spans="1:9" ht="15" customHeight="1" thickBot="1" x14ac:dyDescent="0.35">
      <c r="A19" s="246"/>
      <c r="B19" s="469"/>
      <c r="C19" s="487"/>
      <c r="D19" s="470">
        <v>1.5</v>
      </c>
      <c r="E19" s="471"/>
      <c r="F19" s="471"/>
      <c r="G19" s="264">
        <f>IF(D19&gt;0,(120*(D19*D19))/0.9,"")</f>
        <v>300</v>
      </c>
      <c r="H19" s="131">
        <v>0</v>
      </c>
      <c r="I19" s="501"/>
    </row>
    <row r="20" spans="1:9" ht="25.5" x14ac:dyDescent="0.3">
      <c r="A20" s="246"/>
      <c r="B20" s="469"/>
      <c r="C20" s="511" t="s">
        <v>99</v>
      </c>
      <c r="D20" s="507" t="s">
        <v>100</v>
      </c>
      <c r="E20" s="508"/>
      <c r="F20" s="509"/>
      <c r="G20" s="239" t="s">
        <v>97</v>
      </c>
      <c r="H20" s="240" t="s">
        <v>98</v>
      </c>
      <c r="I20" s="512">
        <f>IF(AND(G21&gt;0,H21&gt;0),(H21*G21*0.9)/1000,0)</f>
        <v>0</v>
      </c>
    </row>
    <row r="21" spans="1:9" ht="15" customHeight="1" thickBot="1" x14ac:dyDescent="0.35">
      <c r="A21" s="246"/>
      <c r="B21" s="469"/>
      <c r="C21" s="489"/>
      <c r="D21" s="123">
        <v>0</v>
      </c>
      <c r="E21" s="124">
        <v>0</v>
      </c>
      <c r="F21" s="125">
        <v>0</v>
      </c>
      <c r="G21" s="359" t="str">
        <f>IF(AND(D21&gt;0,E21&gt;0,F21&gt;0),(150*(D21*E21*F21))/0.9,"")</f>
        <v/>
      </c>
      <c r="H21" s="127">
        <v>0</v>
      </c>
      <c r="I21" s="480"/>
    </row>
    <row r="22" spans="1:9" ht="25.5" x14ac:dyDescent="0.3">
      <c r="A22" s="246"/>
      <c r="B22" s="469"/>
      <c r="C22" s="472" t="s">
        <v>99</v>
      </c>
      <c r="D22" s="458" t="s">
        <v>100</v>
      </c>
      <c r="E22" s="459"/>
      <c r="F22" s="460"/>
      <c r="G22" s="261" t="s">
        <v>97</v>
      </c>
      <c r="H22" s="262" t="s">
        <v>98</v>
      </c>
      <c r="I22" s="432">
        <f>IF(AND(G23&gt;0,H23&gt;0),(H23*G23*0.9)/1000,0)</f>
        <v>0</v>
      </c>
    </row>
    <row r="23" spans="1:9" ht="15" customHeight="1" thickBot="1" x14ac:dyDescent="0.35">
      <c r="A23" s="246"/>
      <c r="B23" s="469"/>
      <c r="C23" s="472"/>
      <c r="D23" s="350">
        <v>0</v>
      </c>
      <c r="E23" s="351">
        <v>0</v>
      </c>
      <c r="F23" s="352">
        <v>0</v>
      </c>
      <c r="G23" s="263" t="str">
        <f>IF(AND(D23&gt;0,E23&gt;0,F23&gt;0),(150*(D23*E23*F23))/0.9,"")</f>
        <v/>
      </c>
      <c r="H23" s="347">
        <v>0</v>
      </c>
      <c r="I23" s="433"/>
    </row>
    <row r="24" spans="1:9" ht="26.25" customHeight="1" x14ac:dyDescent="0.3">
      <c r="B24" s="473" t="s">
        <v>155</v>
      </c>
      <c r="C24" s="474"/>
      <c r="D24" s="450" t="s">
        <v>103</v>
      </c>
      <c r="E24" s="451"/>
      <c r="F24" s="452"/>
      <c r="G24" s="239" t="s">
        <v>97</v>
      </c>
      <c r="H24" s="240" t="s">
        <v>98</v>
      </c>
      <c r="I24" s="477">
        <f>((G25*(D25/100))*H25)/1000</f>
        <v>0</v>
      </c>
    </row>
    <row r="25" spans="1:9" ht="15" customHeight="1" thickBot="1" x14ac:dyDescent="0.35">
      <c r="B25" s="475"/>
      <c r="C25" s="476"/>
      <c r="D25" s="483"/>
      <c r="E25" s="520"/>
      <c r="F25" s="484"/>
      <c r="G25" s="128"/>
      <c r="H25" s="346"/>
      <c r="I25" s="478"/>
    </row>
    <row r="26" spans="1:9" ht="26.25" customHeight="1" x14ac:dyDescent="0.3">
      <c r="B26" s="493" t="s">
        <v>134</v>
      </c>
      <c r="C26" s="494"/>
      <c r="D26" s="438" t="s">
        <v>103</v>
      </c>
      <c r="E26" s="439"/>
      <c r="F26" s="440"/>
      <c r="G26" s="261" t="s">
        <v>97</v>
      </c>
      <c r="H26" s="262" t="s">
        <v>98</v>
      </c>
      <c r="I26" s="432">
        <f>((G27*(D27/100))*H27)/1000</f>
        <v>0</v>
      </c>
    </row>
    <row r="27" spans="1:9" ht="15" customHeight="1" thickBot="1" x14ac:dyDescent="0.35">
      <c r="B27" s="495"/>
      <c r="C27" s="496"/>
      <c r="D27" s="443">
        <v>55</v>
      </c>
      <c r="E27" s="444"/>
      <c r="F27" s="445"/>
      <c r="G27" s="353">
        <v>600</v>
      </c>
      <c r="H27" s="347"/>
      <c r="I27" s="433"/>
    </row>
    <row r="28" spans="1:9" ht="15" customHeight="1" x14ac:dyDescent="0.3">
      <c r="B28" s="446" t="s">
        <v>156</v>
      </c>
      <c r="C28" s="502"/>
      <c r="D28" s="497" t="s">
        <v>105</v>
      </c>
      <c r="E28" s="498"/>
      <c r="F28" s="499"/>
      <c r="G28" s="450" t="s">
        <v>103</v>
      </c>
      <c r="H28" s="452"/>
      <c r="I28" s="477">
        <f>IF(AND(D29&gt;0,E29&gt;0,F29&gt;0,G29&gt;0),(((2*G29)+(30*D29)+60)*((D29*E29*F29)*0.95)/1000),0)</f>
        <v>0</v>
      </c>
    </row>
    <row r="29" spans="1:9" ht="18" customHeight="1" thickBot="1" x14ac:dyDescent="0.35">
      <c r="B29" s="448"/>
      <c r="C29" s="503"/>
      <c r="D29" s="139">
        <v>0</v>
      </c>
      <c r="E29" s="140">
        <v>0</v>
      </c>
      <c r="F29" s="141">
        <v>0</v>
      </c>
      <c r="G29" s="456">
        <v>30</v>
      </c>
      <c r="H29" s="457"/>
      <c r="I29" s="478"/>
    </row>
    <row r="30" spans="1:9" ht="15" customHeight="1" x14ac:dyDescent="0.3">
      <c r="B30" s="434" t="s">
        <v>135</v>
      </c>
      <c r="C30" s="463"/>
      <c r="D30" s="465" t="s">
        <v>105</v>
      </c>
      <c r="E30" s="466"/>
      <c r="F30" s="467"/>
      <c r="G30" s="438" t="s">
        <v>103</v>
      </c>
      <c r="H30" s="440"/>
      <c r="I30" s="432">
        <f>IF(AND(D31&gt;0,E31&gt;0,F31&gt;0,G31&gt;0),(((2*G31)+(30*D31)+60)*((D31*E31*F31)*0.95)/1000),0)</f>
        <v>0</v>
      </c>
    </row>
    <row r="31" spans="1:9" ht="18" customHeight="1" thickBot="1" x14ac:dyDescent="0.35">
      <c r="B31" s="436"/>
      <c r="C31" s="464"/>
      <c r="D31" s="144">
        <v>0</v>
      </c>
      <c r="E31" s="145">
        <v>0</v>
      </c>
      <c r="F31" s="146">
        <v>0</v>
      </c>
      <c r="G31" s="444">
        <v>30</v>
      </c>
      <c r="H31" s="445"/>
      <c r="I31" s="433"/>
    </row>
    <row r="32" spans="1:9" ht="14.25" customHeight="1" x14ac:dyDescent="0.3">
      <c r="B32" s="446" t="s">
        <v>106</v>
      </c>
      <c r="C32" s="502"/>
      <c r="D32" s="504" t="s">
        <v>100</v>
      </c>
      <c r="E32" s="505"/>
      <c r="F32" s="506"/>
      <c r="G32" s="450" t="s">
        <v>103</v>
      </c>
      <c r="H32" s="452"/>
      <c r="I32" s="477">
        <f>IF(AND(D33&gt;0,E33&gt;0,F33&gt;0,G33&gt;0),(((5*G33)+(15*D33)+35)*((D33*E33*F33)*0.95)/1000),0)</f>
        <v>0</v>
      </c>
    </row>
    <row r="33" spans="2:9" ht="15" thickBot="1" x14ac:dyDescent="0.35">
      <c r="B33" s="448"/>
      <c r="C33" s="503"/>
      <c r="D33" s="139">
        <v>0</v>
      </c>
      <c r="E33" s="140">
        <v>0</v>
      </c>
      <c r="F33" s="141">
        <v>0</v>
      </c>
      <c r="G33" s="456">
        <v>32</v>
      </c>
      <c r="H33" s="457"/>
      <c r="I33" s="478"/>
    </row>
    <row r="34" spans="2:9" ht="14.25" customHeight="1" x14ac:dyDescent="0.3">
      <c r="B34" s="434" t="s">
        <v>136</v>
      </c>
      <c r="C34" s="463"/>
      <c r="D34" s="465" t="s">
        <v>100</v>
      </c>
      <c r="E34" s="466"/>
      <c r="F34" s="467"/>
      <c r="G34" s="438" t="s">
        <v>103</v>
      </c>
      <c r="H34" s="440"/>
      <c r="I34" s="432">
        <f>IF(AND(D35&gt;0,E35&gt;0,F35&gt;0,G35&gt;0),(((5*G35)+(15*D35)+35)*((D35*E35*F35)*0.95)/1000),0)</f>
        <v>0</v>
      </c>
    </row>
    <row r="35" spans="2:9" ht="15" thickBot="1" x14ac:dyDescent="0.35">
      <c r="B35" s="436"/>
      <c r="C35" s="464"/>
      <c r="D35" s="144">
        <v>0</v>
      </c>
      <c r="E35" s="145">
        <v>0</v>
      </c>
      <c r="F35" s="146">
        <v>0</v>
      </c>
      <c r="G35" s="444">
        <v>32</v>
      </c>
      <c r="H35" s="445"/>
      <c r="I35" s="433"/>
    </row>
    <row r="36" spans="2:9" ht="14.25" customHeight="1" x14ac:dyDescent="0.3">
      <c r="B36" s="446" t="s">
        <v>107</v>
      </c>
      <c r="C36" s="447"/>
      <c r="D36" s="507" t="s">
        <v>100</v>
      </c>
      <c r="E36" s="508"/>
      <c r="F36" s="509"/>
      <c r="G36" s="450" t="s">
        <v>103</v>
      </c>
      <c r="H36" s="452"/>
      <c r="I36" s="477">
        <f>IF(AND(D37&gt;0,E37&gt;0,F37&gt;0,G37&gt;0),((((5*G37)+(15*D37)+35)*1.2)*((D37*E37*F37)*0.95)/1000),0)</f>
        <v>0</v>
      </c>
    </row>
    <row r="37" spans="2:9" ht="15" customHeight="1" thickBot="1" x14ac:dyDescent="0.35">
      <c r="B37" s="448"/>
      <c r="C37" s="449"/>
      <c r="D37" s="139">
        <v>0</v>
      </c>
      <c r="E37" s="140">
        <v>0</v>
      </c>
      <c r="F37" s="141">
        <v>0</v>
      </c>
      <c r="G37" s="483">
        <v>32</v>
      </c>
      <c r="H37" s="484"/>
      <c r="I37" s="478"/>
    </row>
    <row r="38" spans="2:9" ht="14.25" customHeight="1" x14ac:dyDescent="0.3">
      <c r="B38" s="434" t="s">
        <v>137</v>
      </c>
      <c r="C38" s="435"/>
      <c r="D38" s="458" t="s">
        <v>100</v>
      </c>
      <c r="E38" s="459"/>
      <c r="F38" s="460"/>
      <c r="G38" s="438" t="s">
        <v>103</v>
      </c>
      <c r="H38" s="440"/>
      <c r="I38" s="432">
        <f>IF(AND(D39&gt;0,E39&gt;0,F39&gt;0,G39&gt;0),((((5*G39)+(15*D39)+35)*1.2)*((D39*E39*F39)*0.95)/1000),0)</f>
        <v>0</v>
      </c>
    </row>
    <row r="39" spans="2:9" ht="15" customHeight="1" thickBot="1" x14ac:dyDescent="0.35">
      <c r="B39" s="436"/>
      <c r="C39" s="437"/>
      <c r="D39" s="144">
        <v>0</v>
      </c>
      <c r="E39" s="145">
        <v>0</v>
      </c>
      <c r="F39" s="146">
        <v>0</v>
      </c>
      <c r="G39" s="461">
        <v>32</v>
      </c>
      <c r="H39" s="462"/>
      <c r="I39" s="433"/>
    </row>
    <row r="40" spans="2:9" ht="25.5" x14ac:dyDescent="0.3">
      <c r="B40" s="446" t="s">
        <v>153</v>
      </c>
      <c r="C40" s="447"/>
      <c r="D40" s="450" t="s">
        <v>103</v>
      </c>
      <c r="E40" s="451"/>
      <c r="F40" s="452"/>
      <c r="G40" s="239" t="s">
        <v>97</v>
      </c>
      <c r="H40" s="240" t="s">
        <v>98</v>
      </c>
      <c r="I40" s="453">
        <f>((G41*(D41/100))*H41)/1000</f>
        <v>0</v>
      </c>
    </row>
    <row r="41" spans="2:9" ht="15" thickBot="1" x14ac:dyDescent="0.35">
      <c r="B41" s="448"/>
      <c r="C41" s="449"/>
      <c r="D41" s="455"/>
      <c r="E41" s="456"/>
      <c r="F41" s="457"/>
      <c r="G41" s="142"/>
      <c r="H41" s="143"/>
      <c r="I41" s="454"/>
    </row>
    <row r="42" spans="2:9" ht="25.5" x14ac:dyDescent="0.3">
      <c r="B42" s="434" t="s">
        <v>138</v>
      </c>
      <c r="C42" s="435"/>
      <c r="D42" s="438" t="s">
        <v>103</v>
      </c>
      <c r="E42" s="439"/>
      <c r="F42" s="440"/>
      <c r="G42" s="261" t="s">
        <v>97</v>
      </c>
      <c r="H42" s="262" t="s">
        <v>98</v>
      </c>
      <c r="I42" s="441">
        <f>((G43*(D43/100))*H43)/1000</f>
        <v>0</v>
      </c>
    </row>
    <row r="43" spans="2:9" ht="15" thickBot="1" x14ac:dyDescent="0.35">
      <c r="B43" s="436"/>
      <c r="C43" s="437"/>
      <c r="D43" s="443"/>
      <c r="E43" s="444"/>
      <c r="F43" s="445"/>
      <c r="G43" s="147"/>
      <c r="H43" s="148"/>
      <c r="I43" s="442"/>
    </row>
    <row r="44" spans="2:9" ht="21.75" customHeight="1" x14ac:dyDescent="0.3">
      <c r="B44" s="446" t="s">
        <v>152</v>
      </c>
      <c r="C44" s="447"/>
      <c r="D44" s="450" t="s">
        <v>110</v>
      </c>
      <c r="E44" s="451"/>
      <c r="F44" s="452"/>
      <c r="G44" s="451" t="s">
        <v>111</v>
      </c>
      <c r="H44" s="452"/>
      <c r="I44" s="453">
        <f>((D45*G45)*0.95)/1000</f>
        <v>0</v>
      </c>
    </row>
    <row r="45" spans="2:9" ht="15" thickBot="1" x14ac:dyDescent="0.35">
      <c r="B45" s="448"/>
      <c r="C45" s="449"/>
      <c r="D45" s="455"/>
      <c r="E45" s="456"/>
      <c r="F45" s="457"/>
      <c r="G45" s="456"/>
      <c r="H45" s="457"/>
      <c r="I45" s="454"/>
    </row>
    <row r="46" spans="2:9" ht="21.75" customHeight="1" x14ac:dyDescent="0.3">
      <c r="B46" s="434" t="s">
        <v>139</v>
      </c>
      <c r="C46" s="435"/>
      <c r="D46" s="438" t="s">
        <v>110</v>
      </c>
      <c r="E46" s="439"/>
      <c r="F46" s="440"/>
      <c r="G46" s="439" t="s">
        <v>111</v>
      </c>
      <c r="H46" s="440"/>
      <c r="I46" s="441">
        <f>((D47*G47)*0.95)/1000</f>
        <v>0</v>
      </c>
    </row>
    <row r="47" spans="2:9" ht="15" thickBot="1" x14ac:dyDescent="0.35">
      <c r="B47" s="436"/>
      <c r="C47" s="437"/>
      <c r="D47" s="443"/>
      <c r="E47" s="444"/>
      <c r="F47" s="445"/>
      <c r="G47" s="444"/>
      <c r="H47" s="445"/>
      <c r="I47" s="442"/>
    </row>
    <row r="48" spans="2:9" ht="9" customHeight="1" x14ac:dyDescent="0.3">
      <c r="C48" s="114"/>
      <c r="D48" s="114"/>
      <c r="E48" s="114"/>
      <c r="F48" s="115"/>
      <c r="G48" s="116"/>
      <c r="I48" s="117"/>
    </row>
    <row r="50" spans="2:9" x14ac:dyDescent="0.3">
      <c r="B50" s="120" t="str">
        <f>"(1) les volumes calculés sont diminués de 5% pour tenir compte des pertes au silo et à l'auge"</f>
        <v>(1) les volumes calculés sont diminués de 5% pour tenir compte des pertes au silo et à l'auge</v>
      </c>
    </row>
    <row r="57" spans="2:9" x14ac:dyDescent="0.3">
      <c r="I57" s="219">
        <f>SUM(I8:I47)</f>
        <v>0</v>
      </c>
    </row>
  </sheetData>
  <sheetProtection password="E909" sheet="1" objects="1" scenarios="1" selectLockedCells="1"/>
  <mergeCells count="90">
    <mergeCell ref="D26:F26"/>
    <mergeCell ref="D27:F27"/>
    <mergeCell ref="D24:F24"/>
    <mergeCell ref="D25:F25"/>
    <mergeCell ref="D5:F5"/>
    <mergeCell ref="H5:I5"/>
    <mergeCell ref="I8:I9"/>
    <mergeCell ref="D9:F9"/>
    <mergeCell ref="C12:C13"/>
    <mergeCell ref="D12:F12"/>
    <mergeCell ref="I12:I13"/>
    <mergeCell ref="I10:I11"/>
    <mergeCell ref="C8:C9"/>
    <mergeCell ref="D8:F8"/>
    <mergeCell ref="C20:C21"/>
    <mergeCell ref="D20:F20"/>
    <mergeCell ref="I20:I21"/>
    <mergeCell ref="C18:C19"/>
    <mergeCell ref="D18:F18"/>
    <mergeCell ref="I18:I19"/>
    <mergeCell ref="I14:I15"/>
    <mergeCell ref="B40:C41"/>
    <mergeCell ref="D40:F40"/>
    <mergeCell ref="I40:I41"/>
    <mergeCell ref="D41:F41"/>
    <mergeCell ref="B32:C33"/>
    <mergeCell ref="D32:F32"/>
    <mergeCell ref="G32:H32"/>
    <mergeCell ref="I32:I33"/>
    <mergeCell ref="G33:H33"/>
    <mergeCell ref="B36:C37"/>
    <mergeCell ref="D36:F36"/>
    <mergeCell ref="G36:H36"/>
    <mergeCell ref="B8:B15"/>
    <mergeCell ref="I36:I37"/>
    <mergeCell ref="B28:C29"/>
    <mergeCell ref="G37:H37"/>
    <mergeCell ref="D10:F10"/>
    <mergeCell ref="C10:C11"/>
    <mergeCell ref="D11:F11"/>
    <mergeCell ref="C16:C17"/>
    <mergeCell ref="D16:F16"/>
    <mergeCell ref="C14:C15"/>
    <mergeCell ref="D14:F14"/>
    <mergeCell ref="G35:H35"/>
    <mergeCell ref="B34:C35"/>
    <mergeCell ref="D34:F34"/>
    <mergeCell ref="G34:H34"/>
    <mergeCell ref="B26:C27"/>
    <mergeCell ref="D28:F28"/>
    <mergeCell ref="G28:H28"/>
    <mergeCell ref="G29:H29"/>
    <mergeCell ref="I22:I23"/>
    <mergeCell ref="I26:I27"/>
    <mergeCell ref="B30:C31"/>
    <mergeCell ref="D30:F30"/>
    <mergeCell ref="G30:H30"/>
    <mergeCell ref="I30:I31"/>
    <mergeCell ref="G31:H31"/>
    <mergeCell ref="B16:B23"/>
    <mergeCell ref="D19:F19"/>
    <mergeCell ref="C22:C23"/>
    <mergeCell ref="D22:F22"/>
    <mergeCell ref="B24:C25"/>
    <mergeCell ref="I24:I25"/>
    <mergeCell ref="I28:I29"/>
    <mergeCell ref="I16:I17"/>
    <mergeCell ref="D17:F17"/>
    <mergeCell ref="D43:F43"/>
    <mergeCell ref="B38:C39"/>
    <mergeCell ref="D38:F38"/>
    <mergeCell ref="G38:H38"/>
    <mergeCell ref="I38:I39"/>
    <mergeCell ref="G39:H39"/>
    <mergeCell ref="I34:I35"/>
    <mergeCell ref="B46:C47"/>
    <mergeCell ref="D46:F46"/>
    <mergeCell ref="G46:H46"/>
    <mergeCell ref="I46:I47"/>
    <mergeCell ref="D47:F47"/>
    <mergeCell ref="G47:H47"/>
    <mergeCell ref="B44:C45"/>
    <mergeCell ref="D44:F44"/>
    <mergeCell ref="G44:H44"/>
    <mergeCell ref="I44:I45"/>
    <mergeCell ref="D45:F45"/>
    <mergeCell ref="G45:H45"/>
    <mergeCell ref="B42:C43"/>
    <mergeCell ref="D42:F42"/>
    <mergeCell ref="I42:I4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6"/>
  <sheetViews>
    <sheetView showGridLines="0" topLeftCell="A124" zoomScaleNormal="100" workbookViewId="0">
      <selection activeCell="H15" sqref="H15"/>
    </sheetView>
  </sheetViews>
  <sheetFormatPr baseColWidth="10" defaultColWidth="11.7109375" defaultRowHeight="14.25" x14ac:dyDescent="0.3"/>
  <cols>
    <col min="1" max="1" width="3.28515625" style="92" customWidth="1"/>
    <col min="2" max="2" width="20.5703125" style="92" customWidth="1"/>
    <col min="3" max="3" width="18.28515625" style="92" customWidth="1"/>
    <col min="4" max="5" width="7.7109375" style="92" customWidth="1"/>
    <col min="6" max="6" width="9" style="92" customWidth="1"/>
    <col min="7" max="7" width="14.7109375" style="92" customWidth="1"/>
    <col min="8" max="8" width="11.7109375" style="92" customWidth="1"/>
    <col min="9" max="9" width="14.7109375" style="92" customWidth="1"/>
    <col min="10" max="10" width="3.42578125" style="92" customWidth="1"/>
    <col min="11" max="11" width="3.7109375" style="92" customWidth="1"/>
    <col min="12" max="12" width="17.42578125" style="92" customWidth="1"/>
    <col min="13" max="18" width="8.5703125" style="92" customWidth="1"/>
    <col min="19" max="256" width="11.7109375" style="92"/>
    <col min="257" max="257" width="3.28515625" style="92" customWidth="1"/>
    <col min="258" max="258" width="20.5703125" style="92" customWidth="1"/>
    <col min="259" max="259" width="13.85546875" style="92" customWidth="1"/>
    <col min="260" max="261" width="7.7109375" style="92" customWidth="1"/>
    <col min="262" max="262" width="9" style="92" customWidth="1"/>
    <col min="263" max="263" width="14.7109375" style="92" customWidth="1"/>
    <col min="264" max="264" width="11.7109375" style="92" customWidth="1"/>
    <col min="265" max="265" width="15.140625" style="92" customWidth="1"/>
    <col min="266" max="266" width="3.42578125" style="92" customWidth="1"/>
    <col min="267" max="269" width="8.42578125" style="92" customWidth="1"/>
    <col min="270" max="271" width="13.28515625" style="92" customWidth="1"/>
    <col min="272" max="272" width="12.5703125" style="92" customWidth="1"/>
    <col min="273" max="512" width="11.7109375" style="92"/>
    <col min="513" max="513" width="3.28515625" style="92" customWidth="1"/>
    <col min="514" max="514" width="20.5703125" style="92" customWidth="1"/>
    <col min="515" max="515" width="13.85546875" style="92" customWidth="1"/>
    <col min="516" max="517" width="7.7109375" style="92" customWidth="1"/>
    <col min="518" max="518" width="9" style="92" customWidth="1"/>
    <col min="519" max="519" width="14.7109375" style="92" customWidth="1"/>
    <col min="520" max="520" width="11.7109375" style="92" customWidth="1"/>
    <col min="521" max="521" width="15.140625" style="92" customWidth="1"/>
    <col min="522" max="522" width="3.42578125" style="92" customWidth="1"/>
    <col min="523" max="525" width="8.42578125" style="92" customWidth="1"/>
    <col min="526" max="527" width="13.28515625" style="92" customWidth="1"/>
    <col min="528" max="528" width="12.5703125" style="92" customWidth="1"/>
    <col min="529" max="768" width="11.7109375" style="92"/>
    <col min="769" max="769" width="3.28515625" style="92" customWidth="1"/>
    <col min="770" max="770" width="20.5703125" style="92" customWidth="1"/>
    <col min="771" max="771" width="13.85546875" style="92" customWidth="1"/>
    <col min="772" max="773" width="7.7109375" style="92" customWidth="1"/>
    <col min="774" max="774" width="9" style="92" customWidth="1"/>
    <col min="775" max="775" width="14.7109375" style="92" customWidth="1"/>
    <col min="776" max="776" width="11.7109375" style="92" customWidth="1"/>
    <col min="777" max="777" width="15.140625" style="92" customWidth="1"/>
    <col min="778" max="778" width="3.42578125" style="92" customWidth="1"/>
    <col min="779" max="781" width="8.42578125" style="92" customWidth="1"/>
    <col min="782" max="783" width="13.28515625" style="92" customWidth="1"/>
    <col min="784" max="784" width="12.5703125" style="92" customWidth="1"/>
    <col min="785" max="1024" width="11.7109375" style="92"/>
    <col min="1025" max="1025" width="3.28515625" style="92" customWidth="1"/>
    <col min="1026" max="1026" width="20.5703125" style="92" customWidth="1"/>
    <col min="1027" max="1027" width="13.85546875" style="92" customWidth="1"/>
    <col min="1028" max="1029" width="7.7109375" style="92" customWidth="1"/>
    <col min="1030" max="1030" width="9" style="92" customWidth="1"/>
    <col min="1031" max="1031" width="14.7109375" style="92" customWidth="1"/>
    <col min="1032" max="1032" width="11.7109375" style="92" customWidth="1"/>
    <col min="1033" max="1033" width="15.140625" style="92" customWidth="1"/>
    <col min="1034" max="1034" width="3.42578125" style="92" customWidth="1"/>
    <col min="1035" max="1037" width="8.42578125" style="92" customWidth="1"/>
    <col min="1038" max="1039" width="13.28515625" style="92" customWidth="1"/>
    <col min="1040" max="1040" width="12.5703125" style="92" customWidth="1"/>
    <col min="1041" max="1280" width="11.7109375" style="92"/>
    <col min="1281" max="1281" width="3.28515625" style="92" customWidth="1"/>
    <col min="1282" max="1282" width="20.5703125" style="92" customWidth="1"/>
    <col min="1283" max="1283" width="13.85546875" style="92" customWidth="1"/>
    <col min="1284" max="1285" width="7.7109375" style="92" customWidth="1"/>
    <col min="1286" max="1286" width="9" style="92" customWidth="1"/>
    <col min="1287" max="1287" width="14.7109375" style="92" customWidth="1"/>
    <col min="1288" max="1288" width="11.7109375" style="92" customWidth="1"/>
    <col min="1289" max="1289" width="15.140625" style="92" customWidth="1"/>
    <col min="1290" max="1290" width="3.42578125" style="92" customWidth="1"/>
    <col min="1291" max="1293" width="8.42578125" style="92" customWidth="1"/>
    <col min="1294" max="1295" width="13.28515625" style="92" customWidth="1"/>
    <col min="1296" max="1296" width="12.5703125" style="92" customWidth="1"/>
    <col min="1297" max="1536" width="11.7109375" style="92"/>
    <col min="1537" max="1537" width="3.28515625" style="92" customWidth="1"/>
    <col min="1538" max="1538" width="20.5703125" style="92" customWidth="1"/>
    <col min="1539" max="1539" width="13.85546875" style="92" customWidth="1"/>
    <col min="1540" max="1541" width="7.7109375" style="92" customWidth="1"/>
    <col min="1542" max="1542" width="9" style="92" customWidth="1"/>
    <col min="1543" max="1543" width="14.7109375" style="92" customWidth="1"/>
    <col min="1544" max="1544" width="11.7109375" style="92" customWidth="1"/>
    <col min="1545" max="1545" width="15.140625" style="92" customWidth="1"/>
    <col min="1546" max="1546" width="3.42578125" style="92" customWidth="1"/>
    <col min="1547" max="1549" width="8.42578125" style="92" customWidth="1"/>
    <col min="1550" max="1551" width="13.28515625" style="92" customWidth="1"/>
    <col min="1552" max="1552" width="12.5703125" style="92" customWidth="1"/>
    <col min="1553" max="1792" width="11.7109375" style="92"/>
    <col min="1793" max="1793" width="3.28515625" style="92" customWidth="1"/>
    <col min="1794" max="1794" width="20.5703125" style="92" customWidth="1"/>
    <col min="1795" max="1795" width="13.85546875" style="92" customWidth="1"/>
    <col min="1796" max="1797" width="7.7109375" style="92" customWidth="1"/>
    <col min="1798" max="1798" width="9" style="92" customWidth="1"/>
    <col min="1799" max="1799" width="14.7109375" style="92" customWidth="1"/>
    <col min="1800" max="1800" width="11.7109375" style="92" customWidth="1"/>
    <col min="1801" max="1801" width="15.140625" style="92" customWidth="1"/>
    <col min="1802" max="1802" width="3.42578125" style="92" customWidth="1"/>
    <col min="1803" max="1805" width="8.42578125" style="92" customWidth="1"/>
    <col min="1806" max="1807" width="13.28515625" style="92" customWidth="1"/>
    <col min="1808" max="1808" width="12.5703125" style="92" customWidth="1"/>
    <col min="1809" max="2048" width="11.7109375" style="92"/>
    <col min="2049" max="2049" width="3.28515625" style="92" customWidth="1"/>
    <col min="2050" max="2050" width="20.5703125" style="92" customWidth="1"/>
    <col min="2051" max="2051" width="13.85546875" style="92" customWidth="1"/>
    <col min="2052" max="2053" width="7.7109375" style="92" customWidth="1"/>
    <col min="2054" max="2054" width="9" style="92" customWidth="1"/>
    <col min="2055" max="2055" width="14.7109375" style="92" customWidth="1"/>
    <col min="2056" max="2056" width="11.7109375" style="92" customWidth="1"/>
    <col min="2057" max="2057" width="15.140625" style="92" customWidth="1"/>
    <col min="2058" max="2058" width="3.42578125" style="92" customWidth="1"/>
    <col min="2059" max="2061" width="8.42578125" style="92" customWidth="1"/>
    <col min="2062" max="2063" width="13.28515625" style="92" customWidth="1"/>
    <col min="2064" max="2064" width="12.5703125" style="92" customWidth="1"/>
    <col min="2065" max="2304" width="11.7109375" style="92"/>
    <col min="2305" max="2305" width="3.28515625" style="92" customWidth="1"/>
    <col min="2306" max="2306" width="20.5703125" style="92" customWidth="1"/>
    <col min="2307" max="2307" width="13.85546875" style="92" customWidth="1"/>
    <col min="2308" max="2309" width="7.7109375" style="92" customWidth="1"/>
    <col min="2310" max="2310" width="9" style="92" customWidth="1"/>
    <col min="2311" max="2311" width="14.7109375" style="92" customWidth="1"/>
    <col min="2312" max="2312" width="11.7109375" style="92" customWidth="1"/>
    <col min="2313" max="2313" width="15.140625" style="92" customWidth="1"/>
    <col min="2314" max="2314" width="3.42578125" style="92" customWidth="1"/>
    <col min="2315" max="2317" width="8.42578125" style="92" customWidth="1"/>
    <col min="2318" max="2319" width="13.28515625" style="92" customWidth="1"/>
    <col min="2320" max="2320" width="12.5703125" style="92" customWidth="1"/>
    <col min="2321" max="2560" width="11.7109375" style="92"/>
    <col min="2561" max="2561" width="3.28515625" style="92" customWidth="1"/>
    <col min="2562" max="2562" width="20.5703125" style="92" customWidth="1"/>
    <col min="2563" max="2563" width="13.85546875" style="92" customWidth="1"/>
    <col min="2564" max="2565" width="7.7109375" style="92" customWidth="1"/>
    <col min="2566" max="2566" width="9" style="92" customWidth="1"/>
    <col min="2567" max="2567" width="14.7109375" style="92" customWidth="1"/>
    <col min="2568" max="2568" width="11.7109375" style="92" customWidth="1"/>
    <col min="2569" max="2569" width="15.140625" style="92" customWidth="1"/>
    <col min="2570" max="2570" width="3.42578125" style="92" customWidth="1"/>
    <col min="2571" max="2573" width="8.42578125" style="92" customWidth="1"/>
    <col min="2574" max="2575" width="13.28515625" style="92" customWidth="1"/>
    <col min="2576" max="2576" width="12.5703125" style="92" customWidth="1"/>
    <col min="2577" max="2816" width="11.7109375" style="92"/>
    <col min="2817" max="2817" width="3.28515625" style="92" customWidth="1"/>
    <col min="2818" max="2818" width="20.5703125" style="92" customWidth="1"/>
    <col min="2819" max="2819" width="13.85546875" style="92" customWidth="1"/>
    <col min="2820" max="2821" width="7.7109375" style="92" customWidth="1"/>
    <col min="2822" max="2822" width="9" style="92" customWidth="1"/>
    <col min="2823" max="2823" width="14.7109375" style="92" customWidth="1"/>
    <col min="2824" max="2824" width="11.7109375" style="92" customWidth="1"/>
    <col min="2825" max="2825" width="15.140625" style="92" customWidth="1"/>
    <col min="2826" max="2826" width="3.42578125" style="92" customWidth="1"/>
    <col min="2827" max="2829" width="8.42578125" style="92" customWidth="1"/>
    <col min="2830" max="2831" width="13.28515625" style="92" customWidth="1"/>
    <col min="2832" max="2832" width="12.5703125" style="92" customWidth="1"/>
    <col min="2833" max="3072" width="11.7109375" style="92"/>
    <col min="3073" max="3073" width="3.28515625" style="92" customWidth="1"/>
    <col min="3074" max="3074" width="20.5703125" style="92" customWidth="1"/>
    <col min="3075" max="3075" width="13.85546875" style="92" customWidth="1"/>
    <col min="3076" max="3077" width="7.7109375" style="92" customWidth="1"/>
    <col min="3078" max="3078" width="9" style="92" customWidth="1"/>
    <col min="3079" max="3079" width="14.7109375" style="92" customWidth="1"/>
    <col min="3080" max="3080" width="11.7109375" style="92" customWidth="1"/>
    <col min="3081" max="3081" width="15.140625" style="92" customWidth="1"/>
    <col min="3082" max="3082" width="3.42578125" style="92" customWidth="1"/>
    <col min="3083" max="3085" width="8.42578125" style="92" customWidth="1"/>
    <col min="3086" max="3087" width="13.28515625" style="92" customWidth="1"/>
    <col min="3088" max="3088" width="12.5703125" style="92" customWidth="1"/>
    <col min="3089" max="3328" width="11.7109375" style="92"/>
    <col min="3329" max="3329" width="3.28515625" style="92" customWidth="1"/>
    <col min="3330" max="3330" width="20.5703125" style="92" customWidth="1"/>
    <col min="3331" max="3331" width="13.85546875" style="92" customWidth="1"/>
    <col min="3332" max="3333" width="7.7109375" style="92" customWidth="1"/>
    <col min="3334" max="3334" width="9" style="92" customWidth="1"/>
    <col min="3335" max="3335" width="14.7109375" style="92" customWidth="1"/>
    <col min="3336" max="3336" width="11.7109375" style="92" customWidth="1"/>
    <col min="3337" max="3337" width="15.140625" style="92" customWidth="1"/>
    <col min="3338" max="3338" width="3.42578125" style="92" customWidth="1"/>
    <col min="3339" max="3341" width="8.42578125" style="92" customWidth="1"/>
    <col min="3342" max="3343" width="13.28515625" style="92" customWidth="1"/>
    <col min="3344" max="3344" width="12.5703125" style="92" customWidth="1"/>
    <col min="3345" max="3584" width="11.7109375" style="92"/>
    <col min="3585" max="3585" width="3.28515625" style="92" customWidth="1"/>
    <col min="3586" max="3586" width="20.5703125" style="92" customWidth="1"/>
    <col min="3587" max="3587" width="13.85546875" style="92" customWidth="1"/>
    <col min="3588" max="3589" width="7.7109375" style="92" customWidth="1"/>
    <col min="3590" max="3590" width="9" style="92" customWidth="1"/>
    <col min="3591" max="3591" width="14.7109375" style="92" customWidth="1"/>
    <col min="3592" max="3592" width="11.7109375" style="92" customWidth="1"/>
    <col min="3593" max="3593" width="15.140625" style="92" customWidth="1"/>
    <col min="3594" max="3594" width="3.42578125" style="92" customWidth="1"/>
    <col min="3595" max="3597" width="8.42578125" style="92" customWidth="1"/>
    <col min="3598" max="3599" width="13.28515625" style="92" customWidth="1"/>
    <col min="3600" max="3600" width="12.5703125" style="92" customWidth="1"/>
    <col min="3601" max="3840" width="11.7109375" style="92"/>
    <col min="3841" max="3841" width="3.28515625" style="92" customWidth="1"/>
    <col min="3842" max="3842" width="20.5703125" style="92" customWidth="1"/>
    <col min="3843" max="3843" width="13.85546875" style="92" customWidth="1"/>
    <col min="3844" max="3845" width="7.7109375" style="92" customWidth="1"/>
    <col min="3846" max="3846" width="9" style="92" customWidth="1"/>
    <col min="3847" max="3847" width="14.7109375" style="92" customWidth="1"/>
    <col min="3848" max="3848" width="11.7109375" style="92" customWidth="1"/>
    <col min="3849" max="3849" width="15.140625" style="92" customWidth="1"/>
    <col min="3850" max="3850" width="3.42578125" style="92" customWidth="1"/>
    <col min="3851" max="3853" width="8.42578125" style="92" customWidth="1"/>
    <col min="3854" max="3855" width="13.28515625" style="92" customWidth="1"/>
    <col min="3856" max="3856" width="12.5703125" style="92" customWidth="1"/>
    <col min="3857" max="4096" width="11.7109375" style="92"/>
    <col min="4097" max="4097" width="3.28515625" style="92" customWidth="1"/>
    <col min="4098" max="4098" width="20.5703125" style="92" customWidth="1"/>
    <col min="4099" max="4099" width="13.85546875" style="92" customWidth="1"/>
    <col min="4100" max="4101" width="7.7109375" style="92" customWidth="1"/>
    <col min="4102" max="4102" width="9" style="92" customWidth="1"/>
    <col min="4103" max="4103" width="14.7109375" style="92" customWidth="1"/>
    <col min="4104" max="4104" width="11.7109375" style="92" customWidth="1"/>
    <col min="4105" max="4105" width="15.140625" style="92" customWidth="1"/>
    <col min="4106" max="4106" width="3.42578125" style="92" customWidth="1"/>
    <col min="4107" max="4109" width="8.42578125" style="92" customWidth="1"/>
    <col min="4110" max="4111" width="13.28515625" style="92" customWidth="1"/>
    <col min="4112" max="4112" width="12.5703125" style="92" customWidth="1"/>
    <col min="4113" max="4352" width="11.7109375" style="92"/>
    <col min="4353" max="4353" width="3.28515625" style="92" customWidth="1"/>
    <col min="4354" max="4354" width="20.5703125" style="92" customWidth="1"/>
    <col min="4355" max="4355" width="13.85546875" style="92" customWidth="1"/>
    <col min="4356" max="4357" width="7.7109375" style="92" customWidth="1"/>
    <col min="4358" max="4358" width="9" style="92" customWidth="1"/>
    <col min="4359" max="4359" width="14.7109375" style="92" customWidth="1"/>
    <col min="4360" max="4360" width="11.7109375" style="92" customWidth="1"/>
    <col min="4361" max="4361" width="15.140625" style="92" customWidth="1"/>
    <col min="4362" max="4362" width="3.42578125" style="92" customWidth="1"/>
    <col min="4363" max="4365" width="8.42578125" style="92" customWidth="1"/>
    <col min="4366" max="4367" width="13.28515625" style="92" customWidth="1"/>
    <col min="4368" max="4368" width="12.5703125" style="92" customWidth="1"/>
    <col min="4369" max="4608" width="11.7109375" style="92"/>
    <col min="4609" max="4609" width="3.28515625" style="92" customWidth="1"/>
    <col min="4610" max="4610" width="20.5703125" style="92" customWidth="1"/>
    <col min="4611" max="4611" width="13.85546875" style="92" customWidth="1"/>
    <col min="4612" max="4613" width="7.7109375" style="92" customWidth="1"/>
    <col min="4614" max="4614" width="9" style="92" customWidth="1"/>
    <col min="4615" max="4615" width="14.7109375" style="92" customWidth="1"/>
    <col min="4616" max="4616" width="11.7109375" style="92" customWidth="1"/>
    <col min="4617" max="4617" width="15.140625" style="92" customWidth="1"/>
    <col min="4618" max="4618" width="3.42578125" style="92" customWidth="1"/>
    <col min="4619" max="4621" width="8.42578125" style="92" customWidth="1"/>
    <col min="4622" max="4623" width="13.28515625" style="92" customWidth="1"/>
    <col min="4624" max="4624" width="12.5703125" style="92" customWidth="1"/>
    <col min="4625" max="4864" width="11.7109375" style="92"/>
    <col min="4865" max="4865" width="3.28515625" style="92" customWidth="1"/>
    <col min="4866" max="4866" width="20.5703125" style="92" customWidth="1"/>
    <col min="4867" max="4867" width="13.85546875" style="92" customWidth="1"/>
    <col min="4868" max="4869" width="7.7109375" style="92" customWidth="1"/>
    <col min="4870" max="4870" width="9" style="92" customWidth="1"/>
    <col min="4871" max="4871" width="14.7109375" style="92" customWidth="1"/>
    <col min="4872" max="4872" width="11.7109375" style="92" customWidth="1"/>
    <col min="4873" max="4873" width="15.140625" style="92" customWidth="1"/>
    <col min="4874" max="4874" width="3.42578125" style="92" customWidth="1"/>
    <col min="4875" max="4877" width="8.42578125" style="92" customWidth="1"/>
    <col min="4878" max="4879" width="13.28515625" style="92" customWidth="1"/>
    <col min="4880" max="4880" width="12.5703125" style="92" customWidth="1"/>
    <col min="4881" max="5120" width="11.7109375" style="92"/>
    <col min="5121" max="5121" width="3.28515625" style="92" customWidth="1"/>
    <col min="5122" max="5122" width="20.5703125" style="92" customWidth="1"/>
    <col min="5123" max="5123" width="13.85546875" style="92" customWidth="1"/>
    <col min="5124" max="5125" width="7.7109375" style="92" customWidth="1"/>
    <col min="5126" max="5126" width="9" style="92" customWidth="1"/>
    <col min="5127" max="5127" width="14.7109375" style="92" customWidth="1"/>
    <col min="5128" max="5128" width="11.7109375" style="92" customWidth="1"/>
    <col min="5129" max="5129" width="15.140625" style="92" customWidth="1"/>
    <col min="5130" max="5130" width="3.42578125" style="92" customWidth="1"/>
    <col min="5131" max="5133" width="8.42578125" style="92" customWidth="1"/>
    <col min="5134" max="5135" width="13.28515625" style="92" customWidth="1"/>
    <col min="5136" max="5136" width="12.5703125" style="92" customWidth="1"/>
    <col min="5137" max="5376" width="11.7109375" style="92"/>
    <col min="5377" max="5377" width="3.28515625" style="92" customWidth="1"/>
    <col min="5378" max="5378" width="20.5703125" style="92" customWidth="1"/>
    <col min="5379" max="5379" width="13.85546875" style="92" customWidth="1"/>
    <col min="5380" max="5381" width="7.7109375" style="92" customWidth="1"/>
    <col min="5382" max="5382" width="9" style="92" customWidth="1"/>
    <col min="5383" max="5383" width="14.7109375" style="92" customWidth="1"/>
    <col min="5384" max="5384" width="11.7109375" style="92" customWidth="1"/>
    <col min="5385" max="5385" width="15.140625" style="92" customWidth="1"/>
    <col min="5386" max="5386" width="3.42578125" style="92" customWidth="1"/>
    <col min="5387" max="5389" width="8.42578125" style="92" customWidth="1"/>
    <col min="5390" max="5391" width="13.28515625" style="92" customWidth="1"/>
    <col min="5392" max="5392" width="12.5703125" style="92" customWidth="1"/>
    <col min="5393" max="5632" width="11.7109375" style="92"/>
    <col min="5633" max="5633" width="3.28515625" style="92" customWidth="1"/>
    <col min="5634" max="5634" width="20.5703125" style="92" customWidth="1"/>
    <col min="5635" max="5635" width="13.85546875" style="92" customWidth="1"/>
    <col min="5636" max="5637" width="7.7109375" style="92" customWidth="1"/>
    <col min="5638" max="5638" width="9" style="92" customWidth="1"/>
    <col min="5639" max="5639" width="14.7109375" style="92" customWidth="1"/>
    <col min="5640" max="5640" width="11.7109375" style="92" customWidth="1"/>
    <col min="5641" max="5641" width="15.140625" style="92" customWidth="1"/>
    <col min="5642" max="5642" width="3.42578125" style="92" customWidth="1"/>
    <col min="5643" max="5645" width="8.42578125" style="92" customWidth="1"/>
    <col min="5646" max="5647" width="13.28515625" style="92" customWidth="1"/>
    <col min="5648" max="5648" width="12.5703125" style="92" customWidth="1"/>
    <col min="5649" max="5888" width="11.7109375" style="92"/>
    <col min="5889" max="5889" width="3.28515625" style="92" customWidth="1"/>
    <col min="5890" max="5890" width="20.5703125" style="92" customWidth="1"/>
    <col min="5891" max="5891" width="13.85546875" style="92" customWidth="1"/>
    <col min="5892" max="5893" width="7.7109375" style="92" customWidth="1"/>
    <col min="5894" max="5894" width="9" style="92" customWidth="1"/>
    <col min="5895" max="5895" width="14.7109375" style="92" customWidth="1"/>
    <col min="5896" max="5896" width="11.7109375" style="92" customWidth="1"/>
    <col min="5897" max="5897" width="15.140625" style="92" customWidth="1"/>
    <col min="5898" max="5898" width="3.42578125" style="92" customWidth="1"/>
    <col min="5899" max="5901" width="8.42578125" style="92" customWidth="1"/>
    <col min="5902" max="5903" width="13.28515625" style="92" customWidth="1"/>
    <col min="5904" max="5904" width="12.5703125" style="92" customWidth="1"/>
    <col min="5905" max="6144" width="11.7109375" style="92"/>
    <col min="6145" max="6145" width="3.28515625" style="92" customWidth="1"/>
    <col min="6146" max="6146" width="20.5703125" style="92" customWidth="1"/>
    <col min="6147" max="6147" width="13.85546875" style="92" customWidth="1"/>
    <col min="6148" max="6149" width="7.7109375" style="92" customWidth="1"/>
    <col min="6150" max="6150" width="9" style="92" customWidth="1"/>
    <col min="6151" max="6151" width="14.7109375" style="92" customWidth="1"/>
    <col min="6152" max="6152" width="11.7109375" style="92" customWidth="1"/>
    <col min="6153" max="6153" width="15.140625" style="92" customWidth="1"/>
    <col min="6154" max="6154" width="3.42578125" style="92" customWidth="1"/>
    <col min="6155" max="6157" width="8.42578125" style="92" customWidth="1"/>
    <col min="6158" max="6159" width="13.28515625" style="92" customWidth="1"/>
    <col min="6160" max="6160" width="12.5703125" style="92" customWidth="1"/>
    <col min="6161" max="6400" width="11.7109375" style="92"/>
    <col min="6401" max="6401" width="3.28515625" style="92" customWidth="1"/>
    <col min="6402" max="6402" width="20.5703125" style="92" customWidth="1"/>
    <col min="6403" max="6403" width="13.85546875" style="92" customWidth="1"/>
    <col min="6404" max="6405" width="7.7109375" style="92" customWidth="1"/>
    <col min="6406" max="6406" width="9" style="92" customWidth="1"/>
    <col min="6407" max="6407" width="14.7109375" style="92" customWidth="1"/>
    <col min="6408" max="6408" width="11.7109375" style="92" customWidth="1"/>
    <col min="6409" max="6409" width="15.140625" style="92" customWidth="1"/>
    <col min="6410" max="6410" width="3.42578125" style="92" customWidth="1"/>
    <col min="6411" max="6413" width="8.42578125" style="92" customWidth="1"/>
    <col min="6414" max="6415" width="13.28515625" style="92" customWidth="1"/>
    <col min="6416" max="6416" width="12.5703125" style="92" customWidth="1"/>
    <col min="6417" max="6656" width="11.7109375" style="92"/>
    <col min="6657" max="6657" width="3.28515625" style="92" customWidth="1"/>
    <col min="6658" max="6658" width="20.5703125" style="92" customWidth="1"/>
    <col min="6659" max="6659" width="13.85546875" style="92" customWidth="1"/>
    <col min="6660" max="6661" width="7.7109375" style="92" customWidth="1"/>
    <col min="6662" max="6662" width="9" style="92" customWidth="1"/>
    <col min="6663" max="6663" width="14.7109375" style="92" customWidth="1"/>
    <col min="6664" max="6664" width="11.7109375" style="92" customWidth="1"/>
    <col min="6665" max="6665" width="15.140625" style="92" customWidth="1"/>
    <col min="6666" max="6666" width="3.42578125" style="92" customWidth="1"/>
    <col min="6667" max="6669" width="8.42578125" style="92" customWidth="1"/>
    <col min="6670" max="6671" width="13.28515625" style="92" customWidth="1"/>
    <col min="6672" max="6672" width="12.5703125" style="92" customWidth="1"/>
    <col min="6673" max="6912" width="11.7109375" style="92"/>
    <col min="6913" max="6913" width="3.28515625" style="92" customWidth="1"/>
    <col min="6914" max="6914" width="20.5703125" style="92" customWidth="1"/>
    <col min="6915" max="6915" width="13.85546875" style="92" customWidth="1"/>
    <col min="6916" max="6917" width="7.7109375" style="92" customWidth="1"/>
    <col min="6918" max="6918" width="9" style="92" customWidth="1"/>
    <col min="6919" max="6919" width="14.7109375" style="92" customWidth="1"/>
    <col min="6920" max="6920" width="11.7109375" style="92" customWidth="1"/>
    <col min="6921" max="6921" width="15.140625" style="92" customWidth="1"/>
    <col min="6922" max="6922" width="3.42578125" style="92" customWidth="1"/>
    <col min="6923" max="6925" width="8.42578125" style="92" customWidth="1"/>
    <col min="6926" max="6927" width="13.28515625" style="92" customWidth="1"/>
    <col min="6928" max="6928" width="12.5703125" style="92" customWidth="1"/>
    <col min="6929" max="7168" width="11.7109375" style="92"/>
    <col min="7169" max="7169" width="3.28515625" style="92" customWidth="1"/>
    <col min="7170" max="7170" width="20.5703125" style="92" customWidth="1"/>
    <col min="7171" max="7171" width="13.85546875" style="92" customWidth="1"/>
    <col min="7172" max="7173" width="7.7109375" style="92" customWidth="1"/>
    <col min="7174" max="7174" width="9" style="92" customWidth="1"/>
    <col min="7175" max="7175" width="14.7109375" style="92" customWidth="1"/>
    <col min="7176" max="7176" width="11.7109375" style="92" customWidth="1"/>
    <col min="7177" max="7177" width="15.140625" style="92" customWidth="1"/>
    <col min="7178" max="7178" width="3.42578125" style="92" customWidth="1"/>
    <col min="7179" max="7181" width="8.42578125" style="92" customWidth="1"/>
    <col min="7182" max="7183" width="13.28515625" style="92" customWidth="1"/>
    <col min="7184" max="7184" width="12.5703125" style="92" customWidth="1"/>
    <col min="7185" max="7424" width="11.7109375" style="92"/>
    <col min="7425" max="7425" width="3.28515625" style="92" customWidth="1"/>
    <col min="7426" max="7426" width="20.5703125" style="92" customWidth="1"/>
    <col min="7427" max="7427" width="13.85546875" style="92" customWidth="1"/>
    <col min="7428" max="7429" width="7.7109375" style="92" customWidth="1"/>
    <col min="7430" max="7430" width="9" style="92" customWidth="1"/>
    <col min="7431" max="7431" width="14.7109375" style="92" customWidth="1"/>
    <col min="7432" max="7432" width="11.7109375" style="92" customWidth="1"/>
    <col min="7433" max="7433" width="15.140625" style="92" customWidth="1"/>
    <col min="7434" max="7434" width="3.42578125" style="92" customWidth="1"/>
    <col min="7435" max="7437" width="8.42578125" style="92" customWidth="1"/>
    <col min="7438" max="7439" width="13.28515625" style="92" customWidth="1"/>
    <col min="7440" max="7440" width="12.5703125" style="92" customWidth="1"/>
    <col min="7441" max="7680" width="11.7109375" style="92"/>
    <col min="7681" max="7681" width="3.28515625" style="92" customWidth="1"/>
    <col min="7682" max="7682" width="20.5703125" style="92" customWidth="1"/>
    <col min="7683" max="7683" width="13.85546875" style="92" customWidth="1"/>
    <col min="7684" max="7685" width="7.7109375" style="92" customWidth="1"/>
    <col min="7686" max="7686" width="9" style="92" customWidth="1"/>
    <col min="7687" max="7687" width="14.7109375" style="92" customWidth="1"/>
    <col min="7688" max="7688" width="11.7109375" style="92" customWidth="1"/>
    <col min="7689" max="7689" width="15.140625" style="92" customWidth="1"/>
    <col min="7690" max="7690" width="3.42578125" style="92" customWidth="1"/>
    <col min="7691" max="7693" width="8.42578125" style="92" customWidth="1"/>
    <col min="7694" max="7695" width="13.28515625" style="92" customWidth="1"/>
    <col min="7696" max="7696" width="12.5703125" style="92" customWidth="1"/>
    <col min="7697" max="7936" width="11.7109375" style="92"/>
    <col min="7937" max="7937" width="3.28515625" style="92" customWidth="1"/>
    <col min="7938" max="7938" width="20.5703125" style="92" customWidth="1"/>
    <col min="7939" max="7939" width="13.85546875" style="92" customWidth="1"/>
    <col min="7940" max="7941" width="7.7109375" style="92" customWidth="1"/>
    <col min="7942" max="7942" width="9" style="92" customWidth="1"/>
    <col min="7943" max="7943" width="14.7109375" style="92" customWidth="1"/>
    <col min="7944" max="7944" width="11.7109375" style="92" customWidth="1"/>
    <col min="7945" max="7945" width="15.140625" style="92" customWidth="1"/>
    <col min="7946" max="7946" width="3.42578125" style="92" customWidth="1"/>
    <col min="7947" max="7949" width="8.42578125" style="92" customWidth="1"/>
    <col min="7950" max="7951" width="13.28515625" style="92" customWidth="1"/>
    <col min="7952" max="7952" width="12.5703125" style="92" customWidth="1"/>
    <col min="7953" max="8192" width="11.7109375" style="92"/>
    <col min="8193" max="8193" width="3.28515625" style="92" customWidth="1"/>
    <col min="8194" max="8194" width="20.5703125" style="92" customWidth="1"/>
    <col min="8195" max="8195" width="13.85546875" style="92" customWidth="1"/>
    <col min="8196" max="8197" width="7.7109375" style="92" customWidth="1"/>
    <col min="8198" max="8198" width="9" style="92" customWidth="1"/>
    <col min="8199" max="8199" width="14.7109375" style="92" customWidth="1"/>
    <col min="8200" max="8200" width="11.7109375" style="92" customWidth="1"/>
    <col min="8201" max="8201" width="15.140625" style="92" customWidth="1"/>
    <col min="8202" max="8202" width="3.42578125" style="92" customWidth="1"/>
    <col min="8203" max="8205" width="8.42578125" style="92" customWidth="1"/>
    <col min="8206" max="8207" width="13.28515625" style="92" customWidth="1"/>
    <col min="8208" max="8208" width="12.5703125" style="92" customWidth="1"/>
    <col min="8209" max="8448" width="11.7109375" style="92"/>
    <col min="8449" max="8449" width="3.28515625" style="92" customWidth="1"/>
    <col min="8450" max="8450" width="20.5703125" style="92" customWidth="1"/>
    <col min="8451" max="8451" width="13.85546875" style="92" customWidth="1"/>
    <col min="8452" max="8453" width="7.7109375" style="92" customWidth="1"/>
    <col min="8454" max="8454" width="9" style="92" customWidth="1"/>
    <col min="8455" max="8455" width="14.7109375" style="92" customWidth="1"/>
    <col min="8456" max="8456" width="11.7109375" style="92" customWidth="1"/>
    <col min="8457" max="8457" width="15.140625" style="92" customWidth="1"/>
    <col min="8458" max="8458" width="3.42578125" style="92" customWidth="1"/>
    <col min="8459" max="8461" width="8.42578125" style="92" customWidth="1"/>
    <col min="8462" max="8463" width="13.28515625" style="92" customWidth="1"/>
    <col min="8464" max="8464" width="12.5703125" style="92" customWidth="1"/>
    <col min="8465" max="8704" width="11.7109375" style="92"/>
    <col min="8705" max="8705" width="3.28515625" style="92" customWidth="1"/>
    <col min="8706" max="8706" width="20.5703125" style="92" customWidth="1"/>
    <col min="8707" max="8707" width="13.85546875" style="92" customWidth="1"/>
    <col min="8708" max="8709" width="7.7109375" style="92" customWidth="1"/>
    <col min="8710" max="8710" width="9" style="92" customWidth="1"/>
    <col min="8711" max="8711" width="14.7109375" style="92" customWidth="1"/>
    <col min="8712" max="8712" width="11.7109375" style="92" customWidth="1"/>
    <col min="8713" max="8713" width="15.140625" style="92" customWidth="1"/>
    <col min="8714" max="8714" width="3.42578125" style="92" customWidth="1"/>
    <col min="8715" max="8717" width="8.42578125" style="92" customWidth="1"/>
    <col min="8718" max="8719" width="13.28515625" style="92" customWidth="1"/>
    <col min="8720" max="8720" width="12.5703125" style="92" customWidth="1"/>
    <col min="8721" max="8960" width="11.7109375" style="92"/>
    <col min="8961" max="8961" width="3.28515625" style="92" customWidth="1"/>
    <col min="8962" max="8962" width="20.5703125" style="92" customWidth="1"/>
    <col min="8963" max="8963" width="13.85546875" style="92" customWidth="1"/>
    <col min="8964" max="8965" width="7.7109375" style="92" customWidth="1"/>
    <col min="8966" max="8966" width="9" style="92" customWidth="1"/>
    <col min="8967" max="8967" width="14.7109375" style="92" customWidth="1"/>
    <col min="8968" max="8968" width="11.7109375" style="92" customWidth="1"/>
    <col min="8969" max="8969" width="15.140625" style="92" customWidth="1"/>
    <col min="8970" max="8970" width="3.42578125" style="92" customWidth="1"/>
    <col min="8971" max="8973" width="8.42578125" style="92" customWidth="1"/>
    <col min="8974" max="8975" width="13.28515625" style="92" customWidth="1"/>
    <col min="8976" max="8976" width="12.5703125" style="92" customWidth="1"/>
    <col min="8977" max="9216" width="11.7109375" style="92"/>
    <col min="9217" max="9217" width="3.28515625" style="92" customWidth="1"/>
    <col min="9218" max="9218" width="20.5703125" style="92" customWidth="1"/>
    <col min="9219" max="9219" width="13.85546875" style="92" customWidth="1"/>
    <col min="9220" max="9221" width="7.7109375" style="92" customWidth="1"/>
    <col min="9222" max="9222" width="9" style="92" customWidth="1"/>
    <col min="9223" max="9223" width="14.7109375" style="92" customWidth="1"/>
    <col min="9224" max="9224" width="11.7109375" style="92" customWidth="1"/>
    <col min="9225" max="9225" width="15.140625" style="92" customWidth="1"/>
    <col min="9226" max="9226" width="3.42578125" style="92" customWidth="1"/>
    <col min="9227" max="9229" width="8.42578125" style="92" customWidth="1"/>
    <col min="9230" max="9231" width="13.28515625" style="92" customWidth="1"/>
    <col min="9232" max="9232" width="12.5703125" style="92" customWidth="1"/>
    <col min="9233" max="9472" width="11.7109375" style="92"/>
    <col min="9473" max="9473" width="3.28515625" style="92" customWidth="1"/>
    <col min="9474" max="9474" width="20.5703125" style="92" customWidth="1"/>
    <col min="9475" max="9475" width="13.85546875" style="92" customWidth="1"/>
    <col min="9476" max="9477" width="7.7109375" style="92" customWidth="1"/>
    <col min="9478" max="9478" width="9" style="92" customWidth="1"/>
    <col min="9479" max="9479" width="14.7109375" style="92" customWidth="1"/>
    <col min="9480" max="9480" width="11.7109375" style="92" customWidth="1"/>
    <col min="9481" max="9481" width="15.140625" style="92" customWidth="1"/>
    <col min="9482" max="9482" width="3.42578125" style="92" customWidth="1"/>
    <col min="9483" max="9485" width="8.42578125" style="92" customWidth="1"/>
    <col min="9486" max="9487" width="13.28515625" style="92" customWidth="1"/>
    <col min="9488" max="9488" width="12.5703125" style="92" customWidth="1"/>
    <col min="9489" max="9728" width="11.7109375" style="92"/>
    <col min="9729" max="9729" width="3.28515625" style="92" customWidth="1"/>
    <col min="9730" max="9730" width="20.5703125" style="92" customWidth="1"/>
    <col min="9731" max="9731" width="13.85546875" style="92" customWidth="1"/>
    <col min="9732" max="9733" width="7.7109375" style="92" customWidth="1"/>
    <col min="9734" max="9734" width="9" style="92" customWidth="1"/>
    <col min="9735" max="9735" width="14.7109375" style="92" customWidth="1"/>
    <col min="9736" max="9736" width="11.7109375" style="92" customWidth="1"/>
    <col min="9737" max="9737" width="15.140625" style="92" customWidth="1"/>
    <col min="9738" max="9738" width="3.42578125" style="92" customWidth="1"/>
    <col min="9739" max="9741" width="8.42578125" style="92" customWidth="1"/>
    <col min="9742" max="9743" width="13.28515625" style="92" customWidth="1"/>
    <col min="9744" max="9744" width="12.5703125" style="92" customWidth="1"/>
    <col min="9745" max="9984" width="11.7109375" style="92"/>
    <col min="9985" max="9985" width="3.28515625" style="92" customWidth="1"/>
    <col min="9986" max="9986" width="20.5703125" style="92" customWidth="1"/>
    <col min="9987" max="9987" width="13.85546875" style="92" customWidth="1"/>
    <col min="9988" max="9989" width="7.7109375" style="92" customWidth="1"/>
    <col min="9990" max="9990" width="9" style="92" customWidth="1"/>
    <col min="9991" max="9991" width="14.7109375" style="92" customWidth="1"/>
    <col min="9992" max="9992" width="11.7109375" style="92" customWidth="1"/>
    <col min="9993" max="9993" width="15.140625" style="92" customWidth="1"/>
    <col min="9994" max="9994" width="3.42578125" style="92" customWidth="1"/>
    <col min="9995" max="9997" width="8.42578125" style="92" customWidth="1"/>
    <col min="9998" max="9999" width="13.28515625" style="92" customWidth="1"/>
    <col min="10000" max="10000" width="12.5703125" style="92" customWidth="1"/>
    <col min="10001" max="10240" width="11.7109375" style="92"/>
    <col min="10241" max="10241" width="3.28515625" style="92" customWidth="1"/>
    <col min="10242" max="10242" width="20.5703125" style="92" customWidth="1"/>
    <col min="10243" max="10243" width="13.85546875" style="92" customWidth="1"/>
    <col min="10244" max="10245" width="7.7109375" style="92" customWidth="1"/>
    <col min="10246" max="10246" width="9" style="92" customWidth="1"/>
    <col min="10247" max="10247" width="14.7109375" style="92" customWidth="1"/>
    <col min="10248" max="10248" width="11.7109375" style="92" customWidth="1"/>
    <col min="10249" max="10249" width="15.140625" style="92" customWidth="1"/>
    <col min="10250" max="10250" width="3.42578125" style="92" customWidth="1"/>
    <col min="10251" max="10253" width="8.42578125" style="92" customWidth="1"/>
    <col min="10254" max="10255" width="13.28515625" style="92" customWidth="1"/>
    <col min="10256" max="10256" width="12.5703125" style="92" customWidth="1"/>
    <col min="10257" max="10496" width="11.7109375" style="92"/>
    <col min="10497" max="10497" width="3.28515625" style="92" customWidth="1"/>
    <col min="10498" max="10498" width="20.5703125" style="92" customWidth="1"/>
    <col min="10499" max="10499" width="13.85546875" style="92" customWidth="1"/>
    <col min="10500" max="10501" width="7.7109375" style="92" customWidth="1"/>
    <col min="10502" max="10502" width="9" style="92" customWidth="1"/>
    <col min="10503" max="10503" width="14.7109375" style="92" customWidth="1"/>
    <col min="10504" max="10504" width="11.7109375" style="92" customWidth="1"/>
    <col min="10505" max="10505" width="15.140625" style="92" customWidth="1"/>
    <col min="10506" max="10506" width="3.42578125" style="92" customWidth="1"/>
    <col min="10507" max="10509" width="8.42578125" style="92" customWidth="1"/>
    <col min="10510" max="10511" width="13.28515625" style="92" customWidth="1"/>
    <col min="10512" max="10512" width="12.5703125" style="92" customWidth="1"/>
    <col min="10513" max="10752" width="11.7109375" style="92"/>
    <col min="10753" max="10753" width="3.28515625" style="92" customWidth="1"/>
    <col min="10754" max="10754" width="20.5703125" style="92" customWidth="1"/>
    <col min="10755" max="10755" width="13.85546875" style="92" customWidth="1"/>
    <col min="10756" max="10757" width="7.7109375" style="92" customWidth="1"/>
    <col min="10758" max="10758" width="9" style="92" customWidth="1"/>
    <col min="10759" max="10759" width="14.7109375" style="92" customWidth="1"/>
    <col min="10760" max="10760" width="11.7109375" style="92" customWidth="1"/>
    <col min="10761" max="10761" width="15.140625" style="92" customWidth="1"/>
    <col min="10762" max="10762" width="3.42578125" style="92" customWidth="1"/>
    <col min="10763" max="10765" width="8.42578125" style="92" customWidth="1"/>
    <col min="10766" max="10767" width="13.28515625" style="92" customWidth="1"/>
    <col min="10768" max="10768" width="12.5703125" style="92" customWidth="1"/>
    <col min="10769" max="11008" width="11.7109375" style="92"/>
    <col min="11009" max="11009" width="3.28515625" style="92" customWidth="1"/>
    <col min="11010" max="11010" width="20.5703125" style="92" customWidth="1"/>
    <col min="11011" max="11011" width="13.85546875" style="92" customWidth="1"/>
    <col min="11012" max="11013" width="7.7109375" style="92" customWidth="1"/>
    <col min="11014" max="11014" width="9" style="92" customWidth="1"/>
    <col min="11015" max="11015" width="14.7109375" style="92" customWidth="1"/>
    <col min="11016" max="11016" width="11.7109375" style="92" customWidth="1"/>
    <col min="11017" max="11017" width="15.140625" style="92" customWidth="1"/>
    <col min="11018" max="11018" width="3.42578125" style="92" customWidth="1"/>
    <col min="11019" max="11021" width="8.42578125" style="92" customWidth="1"/>
    <col min="11022" max="11023" width="13.28515625" style="92" customWidth="1"/>
    <col min="11024" max="11024" width="12.5703125" style="92" customWidth="1"/>
    <col min="11025" max="11264" width="11.7109375" style="92"/>
    <col min="11265" max="11265" width="3.28515625" style="92" customWidth="1"/>
    <col min="11266" max="11266" width="20.5703125" style="92" customWidth="1"/>
    <col min="11267" max="11267" width="13.85546875" style="92" customWidth="1"/>
    <col min="11268" max="11269" width="7.7109375" style="92" customWidth="1"/>
    <col min="11270" max="11270" width="9" style="92" customWidth="1"/>
    <col min="11271" max="11271" width="14.7109375" style="92" customWidth="1"/>
    <col min="11272" max="11272" width="11.7109375" style="92" customWidth="1"/>
    <col min="11273" max="11273" width="15.140625" style="92" customWidth="1"/>
    <col min="11274" max="11274" width="3.42578125" style="92" customWidth="1"/>
    <col min="11275" max="11277" width="8.42578125" style="92" customWidth="1"/>
    <col min="11278" max="11279" width="13.28515625" style="92" customWidth="1"/>
    <col min="11280" max="11280" width="12.5703125" style="92" customWidth="1"/>
    <col min="11281" max="11520" width="11.7109375" style="92"/>
    <col min="11521" max="11521" width="3.28515625" style="92" customWidth="1"/>
    <col min="11522" max="11522" width="20.5703125" style="92" customWidth="1"/>
    <col min="11523" max="11523" width="13.85546875" style="92" customWidth="1"/>
    <col min="11524" max="11525" width="7.7109375" style="92" customWidth="1"/>
    <col min="11526" max="11526" width="9" style="92" customWidth="1"/>
    <col min="11527" max="11527" width="14.7109375" style="92" customWidth="1"/>
    <col min="11528" max="11528" width="11.7109375" style="92" customWidth="1"/>
    <col min="11529" max="11529" width="15.140625" style="92" customWidth="1"/>
    <col min="11530" max="11530" width="3.42578125" style="92" customWidth="1"/>
    <col min="11531" max="11533" width="8.42578125" style="92" customWidth="1"/>
    <col min="11534" max="11535" width="13.28515625" style="92" customWidth="1"/>
    <col min="11536" max="11536" width="12.5703125" style="92" customWidth="1"/>
    <col min="11537" max="11776" width="11.7109375" style="92"/>
    <col min="11777" max="11777" width="3.28515625" style="92" customWidth="1"/>
    <col min="11778" max="11778" width="20.5703125" style="92" customWidth="1"/>
    <col min="11779" max="11779" width="13.85546875" style="92" customWidth="1"/>
    <col min="11780" max="11781" width="7.7109375" style="92" customWidth="1"/>
    <col min="11782" max="11782" width="9" style="92" customWidth="1"/>
    <col min="11783" max="11783" width="14.7109375" style="92" customWidth="1"/>
    <col min="11784" max="11784" width="11.7109375" style="92" customWidth="1"/>
    <col min="11785" max="11785" width="15.140625" style="92" customWidth="1"/>
    <col min="11786" max="11786" width="3.42578125" style="92" customWidth="1"/>
    <col min="11787" max="11789" width="8.42578125" style="92" customWidth="1"/>
    <col min="11790" max="11791" width="13.28515625" style="92" customWidth="1"/>
    <col min="11792" max="11792" width="12.5703125" style="92" customWidth="1"/>
    <col min="11793" max="12032" width="11.7109375" style="92"/>
    <col min="12033" max="12033" width="3.28515625" style="92" customWidth="1"/>
    <col min="12034" max="12034" width="20.5703125" style="92" customWidth="1"/>
    <col min="12035" max="12035" width="13.85546875" style="92" customWidth="1"/>
    <col min="12036" max="12037" width="7.7109375" style="92" customWidth="1"/>
    <col min="12038" max="12038" width="9" style="92" customWidth="1"/>
    <col min="12039" max="12039" width="14.7109375" style="92" customWidth="1"/>
    <col min="12040" max="12040" width="11.7109375" style="92" customWidth="1"/>
    <col min="12041" max="12041" width="15.140625" style="92" customWidth="1"/>
    <col min="12042" max="12042" width="3.42578125" style="92" customWidth="1"/>
    <col min="12043" max="12045" width="8.42578125" style="92" customWidth="1"/>
    <col min="12046" max="12047" width="13.28515625" style="92" customWidth="1"/>
    <col min="12048" max="12048" width="12.5703125" style="92" customWidth="1"/>
    <col min="12049" max="12288" width="11.7109375" style="92"/>
    <col min="12289" max="12289" width="3.28515625" style="92" customWidth="1"/>
    <col min="12290" max="12290" width="20.5703125" style="92" customWidth="1"/>
    <col min="12291" max="12291" width="13.85546875" style="92" customWidth="1"/>
    <col min="12292" max="12293" width="7.7109375" style="92" customWidth="1"/>
    <col min="12294" max="12294" width="9" style="92" customWidth="1"/>
    <col min="12295" max="12295" width="14.7109375" style="92" customWidth="1"/>
    <col min="12296" max="12296" width="11.7109375" style="92" customWidth="1"/>
    <col min="12297" max="12297" width="15.140625" style="92" customWidth="1"/>
    <col min="12298" max="12298" width="3.42578125" style="92" customWidth="1"/>
    <col min="12299" max="12301" width="8.42578125" style="92" customWidth="1"/>
    <col min="12302" max="12303" width="13.28515625" style="92" customWidth="1"/>
    <col min="12304" max="12304" width="12.5703125" style="92" customWidth="1"/>
    <col min="12305" max="12544" width="11.7109375" style="92"/>
    <col min="12545" max="12545" width="3.28515625" style="92" customWidth="1"/>
    <col min="12546" max="12546" width="20.5703125" style="92" customWidth="1"/>
    <col min="12547" max="12547" width="13.85546875" style="92" customWidth="1"/>
    <col min="12548" max="12549" width="7.7109375" style="92" customWidth="1"/>
    <col min="12550" max="12550" width="9" style="92" customWidth="1"/>
    <col min="12551" max="12551" width="14.7109375" style="92" customWidth="1"/>
    <col min="12552" max="12552" width="11.7109375" style="92" customWidth="1"/>
    <col min="12553" max="12553" width="15.140625" style="92" customWidth="1"/>
    <col min="12554" max="12554" width="3.42578125" style="92" customWidth="1"/>
    <col min="12555" max="12557" width="8.42578125" style="92" customWidth="1"/>
    <col min="12558" max="12559" width="13.28515625" style="92" customWidth="1"/>
    <col min="12560" max="12560" width="12.5703125" style="92" customWidth="1"/>
    <col min="12561" max="12800" width="11.7109375" style="92"/>
    <col min="12801" max="12801" width="3.28515625" style="92" customWidth="1"/>
    <col min="12802" max="12802" width="20.5703125" style="92" customWidth="1"/>
    <col min="12803" max="12803" width="13.85546875" style="92" customWidth="1"/>
    <col min="12804" max="12805" width="7.7109375" style="92" customWidth="1"/>
    <col min="12806" max="12806" width="9" style="92" customWidth="1"/>
    <col min="12807" max="12807" width="14.7109375" style="92" customWidth="1"/>
    <col min="12808" max="12808" width="11.7109375" style="92" customWidth="1"/>
    <col min="12809" max="12809" width="15.140625" style="92" customWidth="1"/>
    <col min="12810" max="12810" width="3.42578125" style="92" customWidth="1"/>
    <col min="12811" max="12813" width="8.42578125" style="92" customWidth="1"/>
    <col min="12814" max="12815" width="13.28515625" style="92" customWidth="1"/>
    <col min="12816" max="12816" width="12.5703125" style="92" customWidth="1"/>
    <col min="12817" max="13056" width="11.7109375" style="92"/>
    <col min="13057" max="13057" width="3.28515625" style="92" customWidth="1"/>
    <col min="13058" max="13058" width="20.5703125" style="92" customWidth="1"/>
    <col min="13059" max="13059" width="13.85546875" style="92" customWidth="1"/>
    <col min="13060" max="13061" width="7.7109375" style="92" customWidth="1"/>
    <col min="13062" max="13062" width="9" style="92" customWidth="1"/>
    <col min="13063" max="13063" width="14.7109375" style="92" customWidth="1"/>
    <col min="13064" max="13064" width="11.7109375" style="92" customWidth="1"/>
    <col min="13065" max="13065" width="15.140625" style="92" customWidth="1"/>
    <col min="13066" max="13066" width="3.42578125" style="92" customWidth="1"/>
    <col min="13067" max="13069" width="8.42578125" style="92" customWidth="1"/>
    <col min="13070" max="13071" width="13.28515625" style="92" customWidth="1"/>
    <col min="13072" max="13072" width="12.5703125" style="92" customWidth="1"/>
    <col min="13073" max="13312" width="11.7109375" style="92"/>
    <col min="13313" max="13313" width="3.28515625" style="92" customWidth="1"/>
    <col min="13314" max="13314" width="20.5703125" style="92" customWidth="1"/>
    <col min="13315" max="13315" width="13.85546875" style="92" customWidth="1"/>
    <col min="13316" max="13317" width="7.7109375" style="92" customWidth="1"/>
    <col min="13318" max="13318" width="9" style="92" customWidth="1"/>
    <col min="13319" max="13319" width="14.7109375" style="92" customWidth="1"/>
    <col min="13320" max="13320" width="11.7109375" style="92" customWidth="1"/>
    <col min="13321" max="13321" width="15.140625" style="92" customWidth="1"/>
    <col min="13322" max="13322" width="3.42578125" style="92" customWidth="1"/>
    <col min="13323" max="13325" width="8.42578125" style="92" customWidth="1"/>
    <col min="13326" max="13327" width="13.28515625" style="92" customWidth="1"/>
    <col min="13328" max="13328" width="12.5703125" style="92" customWidth="1"/>
    <col min="13329" max="13568" width="11.7109375" style="92"/>
    <col min="13569" max="13569" width="3.28515625" style="92" customWidth="1"/>
    <col min="13570" max="13570" width="20.5703125" style="92" customWidth="1"/>
    <col min="13571" max="13571" width="13.85546875" style="92" customWidth="1"/>
    <col min="13572" max="13573" width="7.7109375" style="92" customWidth="1"/>
    <col min="13574" max="13574" width="9" style="92" customWidth="1"/>
    <col min="13575" max="13575" width="14.7109375" style="92" customWidth="1"/>
    <col min="13576" max="13576" width="11.7109375" style="92" customWidth="1"/>
    <col min="13577" max="13577" width="15.140625" style="92" customWidth="1"/>
    <col min="13578" max="13578" width="3.42578125" style="92" customWidth="1"/>
    <col min="13579" max="13581" width="8.42578125" style="92" customWidth="1"/>
    <col min="13582" max="13583" width="13.28515625" style="92" customWidth="1"/>
    <col min="13584" max="13584" width="12.5703125" style="92" customWidth="1"/>
    <col min="13585" max="13824" width="11.7109375" style="92"/>
    <col min="13825" max="13825" width="3.28515625" style="92" customWidth="1"/>
    <col min="13826" max="13826" width="20.5703125" style="92" customWidth="1"/>
    <col min="13827" max="13827" width="13.85546875" style="92" customWidth="1"/>
    <col min="13828" max="13829" width="7.7109375" style="92" customWidth="1"/>
    <col min="13830" max="13830" width="9" style="92" customWidth="1"/>
    <col min="13831" max="13831" width="14.7109375" style="92" customWidth="1"/>
    <col min="13832" max="13832" width="11.7109375" style="92" customWidth="1"/>
    <col min="13833" max="13833" width="15.140625" style="92" customWidth="1"/>
    <col min="13834" max="13834" width="3.42578125" style="92" customWidth="1"/>
    <col min="13835" max="13837" width="8.42578125" style="92" customWidth="1"/>
    <col min="13838" max="13839" width="13.28515625" style="92" customWidth="1"/>
    <col min="13840" max="13840" width="12.5703125" style="92" customWidth="1"/>
    <col min="13841" max="14080" width="11.7109375" style="92"/>
    <col min="14081" max="14081" width="3.28515625" style="92" customWidth="1"/>
    <col min="14082" max="14082" width="20.5703125" style="92" customWidth="1"/>
    <col min="14083" max="14083" width="13.85546875" style="92" customWidth="1"/>
    <col min="14084" max="14085" width="7.7109375" style="92" customWidth="1"/>
    <col min="14086" max="14086" width="9" style="92" customWidth="1"/>
    <col min="14087" max="14087" width="14.7109375" style="92" customWidth="1"/>
    <col min="14088" max="14088" width="11.7109375" style="92" customWidth="1"/>
    <col min="14089" max="14089" width="15.140625" style="92" customWidth="1"/>
    <col min="14090" max="14090" width="3.42578125" style="92" customWidth="1"/>
    <col min="14091" max="14093" width="8.42578125" style="92" customWidth="1"/>
    <col min="14094" max="14095" width="13.28515625" style="92" customWidth="1"/>
    <col min="14096" max="14096" width="12.5703125" style="92" customWidth="1"/>
    <col min="14097" max="14336" width="11.7109375" style="92"/>
    <col min="14337" max="14337" width="3.28515625" style="92" customWidth="1"/>
    <col min="14338" max="14338" width="20.5703125" style="92" customWidth="1"/>
    <col min="14339" max="14339" width="13.85546875" style="92" customWidth="1"/>
    <col min="14340" max="14341" width="7.7109375" style="92" customWidth="1"/>
    <col min="14342" max="14342" width="9" style="92" customWidth="1"/>
    <col min="14343" max="14343" width="14.7109375" style="92" customWidth="1"/>
    <col min="14344" max="14344" width="11.7109375" style="92" customWidth="1"/>
    <col min="14345" max="14345" width="15.140625" style="92" customWidth="1"/>
    <col min="14346" max="14346" width="3.42578125" style="92" customWidth="1"/>
    <col min="14347" max="14349" width="8.42578125" style="92" customWidth="1"/>
    <col min="14350" max="14351" width="13.28515625" style="92" customWidth="1"/>
    <col min="14352" max="14352" width="12.5703125" style="92" customWidth="1"/>
    <col min="14353" max="14592" width="11.7109375" style="92"/>
    <col min="14593" max="14593" width="3.28515625" style="92" customWidth="1"/>
    <col min="14594" max="14594" width="20.5703125" style="92" customWidth="1"/>
    <col min="14595" max="14595" width="13.85546875" style="92" customWidth="1"/>
    <col min="14596" max="14597" width="7.7109375" style="92" customWidth="1"/>
    <col min="14598" max="14598" width="9" style="92" customWidth="1"/>
    <col min="14599" max="14599" width="14.7109375" style="92" customWidth="1"/>
    <col min="14600" max="14600" width="11.7109375" style="92" customWidth="1"/>
    <col min="14601" max="14601" width="15.140625" style="92" customWidth="1"/>
    <col min="14602" max="14602" width="3.42578125" style="92" customWidth="1"/>
    <col min="14603" max="14605" width="8.42578125" style="92" customWidth="1"/>
    <col min="14606" max="14607" width="13.28515625" style="92" customWidth="1"/>
    <col min="14608" max="14608" width="12.5703125" style="92" customWidth="1"/>
    <col min="14609" max="14848" width="11.7109375" style="92"/>
    <col min="14849" max="14849" width="3.28515625" style="92" customWidth="1"/>
    <col min="14850" max="14850" width="20.5703125" style="92" customWidth="1"/>
    <col min="14851" max="14851" width="13.85546875" style="92" customWidth="1"/>
    <col min="14852" max="14853" width="7.7109375" style="92" customWidth="1"/>
    <col min="14854" max="14854" width="9" style="92" customWidth="1"/>
    <col min="14855" max="14855" width="14.7109375" style="92" customWidth="1"/>
    <col min="14856" max="14856" width="11.7109375" style="92" customWidth="1"/>
    <col min="14857" max="14857" width="15.140625" style="92" customWidth="1"/>
    <col min="14858" max="14858" width="3.42578125" style="92" customWidth="1"/>
    <col min="14859" max="14861" width="8.42578125" style="92" customWidth="1"/>
    <col min="14862" max="14863" width="13.28515625" style="92" customWidth="1"/>
    <col min="14864" max="14864" width="12.5703125" style="92" customWidth="1"/>
    <col min="14865" max="15104" width="11.7109375" style="92"/>
    <col min="15105" max="15105" width="3.28515625" style="92" customWidth="1"/>
    <col min="15106" max="15106" width="20.5703125" style="92" customWidth="1"/>
    <col min="15107" max="15107" width="13.85546875" style="92" customWidth="1"/>
    <col min="15108" max="15109" width="7.7109375" style="92" customWidth="1"/>
    <col min="15110" max="15110" width="9" style="92" customWidth="1"/>
    <col min="15111" max="15111" width="14.7109375" style="92" customWidth="1"/>
    <col min="15112" max="15112" width="11.7109375" style="92" customWidth="1"/>
    <col min="15113" max="15113" width="15.140625" style="92" customWidth="1"/>
    <col min="15114" max="15114" width="3.42578125" style="92" customWidth="1"/>
    <col min="15115" max="15117" width="8.42578125" style="92" customWidth="1"/>
    <col min="15118" max="15119" width="13.28515625" style="92" customWidth="1"/>
    <col min="15120" max="15120" width="12.5703125" style="92" customWidth="1"/>
    <col min="15121" max="15360" width="11.7109375" style="92"/>
    <col min="15361" max="15361" width="3.28515625" style="92" customWidth="1"/>
    <col min="15362" max="15362" width="20.5703125" style="92" customWidth="1"/>
    <col min="15363" max="15363" width="13.85546875" style="92" customWidth="1"/>
    <col min="15364" max="15365" width="7.7109375" style="92" customWidth="1"/>
    <col min="15366" max="15366" width="9" style="92" customWidth="1"/>
    <col min="15367" max="15367" width="14.7109375" style="92" customWidth="1"/>
    <col min="15368" max="15368" width="11.7109375" style="92" customWidth="1"/>
    <col min="15369" max="15369" width="15.140625" style="92" customWidth="1"/>
    <col min="15370" max="15370" width="3.42578125" style="92" customWidth="1"/>
    <col min="15371" max="15373" width="8.42578125" style="92" customWidth="1"/>
    <col min="15374" max="15375" width="13.28515625" style="92" customWidth="1"/>
    <col min="15376" max="15376" width="12.5703125" style="92" customWidth="1"/>
    <col min="15377" max="15616" width="11.7109375" style="92"/>
    <col min="15617" max="15617" width="3.28515625" style="92" customWidth="1"/>
    <col min="15618" max="15618" width="20.5703125" style="92" customWidth="1"/>
    <col min="15619" max="15619" width="13.85546875" style="92" customWidth="1"/>
    <col min="15620" max="15621" width="7.7109375" style="92" customWidth="1"/>
    <col min="15622" max="15622" width="9" style="92" customWidth="1"/>
    <col min="15623" max="15623" width="14.7109375" style="92" customWidth="1"/>
    <col min="15624" max="15624" width="11.7109375" style="92" customWidth="1"/>
    <col min="15625" max="15625" width="15.140625" style="92" customWidth="1"/>
    <col min="15626" max="15626" width="3.42578125" style="92" customWidth="1"/>
    <col min="15627" max="15629" width="8.42578125" style="92" customWidth="1"/>
    <col min="15630" max="15631" width="13.28515625" style="92" customWidth="1"/>
    <col min="15632" max="15632" width="12.5703125" style="92" customWidth="1"/>
    <col min="15633" max="15872" width="11.7109375" style="92"/>
    <col min="15873" max="15873" width="3.28515625" style="92" customWidth="1"/>
    <col min="15874" max="15874" width="20.5703125" style="92" customWidth="1"/>
    <col min="15875" max="15875" width="13.85546875" style="92" customWidth="1"/>
    <col min="15876" max="15877" width="7.7109375" style="92" customWidth="1"/>
    <col min="15878" max="15878" width="9" style="92" customWidth="1"/>
    <col min="15879" max="15879" width="14.7109375" style="92" customWidth="1"/>
    <col min="15880" max="15880" width="11.7109375" style="92" customWidth="1"/>
    <col min="15881" max="15881" width="15.140625" style="92" customWidth="1"/>
    <col min="15882" max="15882" width="3.42578125" style="92" customWidth="1"/>
    <col min="15883" max="15885" width="8.42578125" style="92" customWidth="1"/>
    <col min="15886" max="15887" width="13.28515625" style="92" customWidth="1"/>
    <col min="15888" max="15888" width="12.5703125" style="92" customWidth="1"/>
    <col min="15889" max="16128" width="11.7109375" style="92"/>
    <col min="16129" max="16129" width="3.28515625" style="92" customWidth="1"/>
    <col min="16130" max="16130" width="20.5703125" style="92" customWidth="1"/>
    <col min="16131" max="16131" width="13.85546875" style="92" customWidth="1"/>
    <col min="16132" max="16133" width="7.7109375" style="92" customWidth="1"/>
    <col min="16134" max="16134" width="9" style="92" customWidth="1"/>
    <col min="16135" max="16135" width="14.7109375" style="92" customWidth="1"/>
    <col min="16136" max="16136" width="11.7109375" style="92" customWidth="1"/>
    <col min="16137" max="16137" width="15.140625" style="92" customWidth="1"/>
    <col min="16138" max="16138" width="3.42578125" style="92" customWidth="1"/>
    <col min="16139" max="16141" width="8.42578125" style="92" customWidth="1"/>
    <col min="16142" max="16143" width="13.28515625" style="92" customWidth="1"/>
    <col min="16144" max="16144" width="12.5703125" style="92" customWidth="1"/>
    <col min="16145" max="16384" width="11.7109375" style="92"/>
  </cols>
  <sheetData>
    <row r="2" spans="2:19" ht="20.25" x14ac:dyDescent="0.3">
      <c r="B2" s="252" t="s">
        <v>218</v>
      </c>
      <c r="C2" s="253"/>
      <c r="D2" s="253"/>
      <c r="E2" s="246"/>
      <c r="F2" s="246"/>
      <c r="G2" s="246"/>
      <c r="H2" s="246"/>
      <c r="I2" s="246"/>
      <c r="J2" s="246"/>
      <c r="K2" s="246"/>
    </row>
    <row r="3" spans="2:19" ht="20.25" x14ac:dyDescent="0.3">
      <c r="B3" s="254"/>
      <c r="C3" s="255"/>
      <c r="D3" s="255"/>
      <c r="E3" s="246"/>
      <c r="F3" s="246"/>
      <c r="G3" s="246"/>
      <c r="H3" s="246"/>
      <c r="I3" s="246"/>
      <c r="J3" s="246"/>
      <c r="K3" s="246"/>
    </row>
    <row r="4" spans="2:19" ht="15" thickBot="1" x14ac:dyDescent="0.35">
      <c r="B4" s="6" t="s">
        <v>0</v>
      </c>
      <c r="C4" s="255"/>
      <c r="D4" s="122" t="s">
        <v>2</v>
      </c>
      <c r="E4" s="246"/>
      <c r="F4" s="246"/>
      <c r="G4" s="246"/>
      <c r="H4" s="5" t="s">
        <v>1</v>
      </c>
      <c r="I4" s="246"/>
      <c r="J4" s="246"/>
      <c r="K4" s="246"/>
    </row>
    <row r="5" spans="2:19" ht="16.5" thickBot="1" x14ac:dyDescent="0.35">
      <c r="B5" s="256">
        <f>Accueil!C11</f>
        <v>0</v>
      </c>
      <c r="C5" s="255"/>
      <c r="D5" s="513">
        <f>Accueil!F9</f>
        <v>0</v>
      </c>
      <c r="E5" s="514"/>
      <c r="F5" s="521"/>
      <c r="G5" s="246"/>
      <c r="H5" s="513">
        <f>'Report stocks_2018'!H5:I5</f>
        <v>0</v>
      </c>
      <c r="I5" s="514"/>
      <c r="J5" s="265"/>
      <c r="K5" s="246"/>
    </row>
    <row r="6" spans="2:19" ht="24" customHeight="1" thickBot="1" x14ac:dyDescent="0.35">
      <c r="B6" s="257"/>
      <c r="C6" s="246"/>
      <c r="D6" s="246"/>
      <c r="E6" s="246"/>
      <c r="F6" s="246"/>
      <c r="G6" s="246"/>
      <c r="H6" s="246"/>
      <c r="I6" s="246"/>
      <c r="J6" s="246"/>
      <c r="K6" s="246"/>
      <c r="L6" s="6"/>
    </row>
    <row r="7" spans="2:19" ht="45.75" customHeight="1" thickBot="1" x14ac:dyDescent="0.35">
      <c r="B7" s="258" t="s">
        <v>233</v>
      </c>
      <c r="C7" s="259"/>
      <c r="D7" s="259"/>
      <c r="E7" s="259"/>
      <c r="F7" s="259"/>
      <c r="G7" s="259"/>
      <c r="H7" s="259"/>
      <c r="I7" s="266" t="s">
        <v>94</v>
      </c>
    </row>
    <row r="8" spans="2:19" ht="25.5" customHeight="1" thickBot="1" x14ac:dyDescent="0.35">
      <c r="B8" s="468" t="s">
        <v>95</v>
      </c>
      <c r="C8" s="488" t="s">
        <v>141</v>
      </c>
      <c r="D8" s="518" t="s">
        <v>96</v>
      </c>
      <c r="E8" s="519"/>
      <c r="F8" s="519"/>
      <c r="G8" s="241" t="s">
        <v>97</v>
      </c>
      <c r="H8" s="242" t="s">
        <v>98</v>
      </c>
      <c r="I8" s="479">
        <f>IF(AND(G9&gt;0,H9&gt;0),(H9*G9*0.85)/1000,0)</f>
        <v>0</v>
      </c>
      <c r="K8" s="163"/>
      <c r="L8" s="268" t="s">
        <v>165</v>
      </c>
      <c r="M8" s="522" t="s">
        <v>166</v>
      </c>
      <c r="N8" s="523"/>
      <c r="O8" s="524" t="s">
        <v>167</v>
      </c>
      <c r="P8" s="523"/>
      <c r="Q8" s="524" t="s">
        <v>168</v>
      </c>
      <c r="R8" s="523"/>
      <c r="S8" s="246"/>
    </row>
    <row r="9" spans="2:19" ht="15" customHeight="1" thickBot="1" x14ac:dyDescent="0.35">
      <c r="B9" s="469"/>
      <c r="C9" s="489"/>
      <c r="D9" s="481">
        <v>1.5</v>
      </c>
      <c r="E9" s="482"/>
      <c r="F9" s="482"/>
      <c r="G9" s="243">
        <f>IF(D9&gt;0,(130*(D9*D9))/0.85,"")</f>
        <v>344.11764705882354</v>
      </c>
      <c r="H9" s="128"/>
      <c r="I9" s="480"/>
      <c r="L9" s="246"/>
      <c r="M9" s="273">
        <v>2019</v>
      </c>
      <c r="N9" s="274" t="s">
        <v>169</v>
      </c>
      <c r="O9" s="275">
        <v>2019</v>
      </c>
      <c r="P9" s="274" t="s">
        <v>169</v>
      </c>
      <c r="Q9" s="275">
        <v>2019</v>
      </c>
      <c r="R9" s="274" t="s">
        <v>169</v>
      </c>
      <c r="S9" s="246"/>
    </row>
    <row r="10" spans="2:19" ht="28.5" x14ac:dyDescent="0.3">
      <c r="B10" s="469"/>
      <c r="C10" s="486" t="s">
        <v>131</v>
      </c>
      <c r="D10" s="438" t="s">
        <v>96</v>
      </c>
      <c r="E10" s="485"/>
      <c r="F10" s="485"/>
      <c r="G10" s="261" t="s">
        <v>97</v>
      </c>
      <c r="H10" s="262" t="s">
        <v>98</v>
      </c>
      <c r="I10" s="500">
        <f>IF(AND(G11&gt;0,H11&gt;0),(H11*G11*0.85)/1000,0)</f>
        <v>0</v>
      </c>
      <c r="L10" s="269" t="s">
        <v>170</v>
      </c>
      <c r="M10" s="209"/>
      <c r="N10" s="210"/>
      <c r="O10" s="211"/>
      <c r="P10" s="210"/>
      <c r="Q10" s="211"/>
      <c r="R10" s="210"/>
    </row>
    <row r="11" spans="2:19" ht="29.25" thickBot="1" x14ac:dyDescent="0.35">
      <c r="B11" s="469"/>
      <c r="C11" s="487"/>
      <c r="D11" s="470">
        <v>1.3</v>
      </c>
      <c r="E11" s="471"/>
      <c r="F11" s="471"/>
      <c r="G11" s="264">
        <f>IF(D11&gt;0,(130*(D11*D11))/0.85,"")</f>
        <v>258.47058823529414</v>
      </c>
      <c r="H11" s="131">
        <v>0</v>
      </c>
      <c r="I11" s="501"/>
      <c r="L11" s="270" t="s">
        <v>171</v>
      </c>
      <c r="M11" s="212"/>
      <c r="N11" s="213"/>
      <c r="O11" s="214"/>
      <c r="P11" s="213"/>
      <c r="Q11" s="214"/>
      <c r="R11" s="213"/>
    </row>
    <row r="12" spans="2:19" ht="26.25" thickBot="1" x14ac:dyDescent="0.35">
      <c r="B12" s="469"/>
      <c r="C12" s="569" t="s">
        <v>142</v>
      </c>
      <c r="D12" s="507" t="s">
        <v>100</v>
      </c>
      <c r="E12" s="508"/>
      <c r="F12" s="509"/>
      <c r="G12" s="239" t="s">
        <v>97</v>
      </c>
      <c r="H12" s="240" t="s">
        <v>98</v>
      </c>
      <c r="I12" s="512">
        <f>IF(AND(G13&gt;0,H13&gt;0),(H13*G13*0.85)/1000,0)</f>
        <v>0</v>
      </c>
      <c r="L12" s="271" t="s">
        <v>172</v>
      </c>
      <c r="M12" s="348">
        <f>(($G$9*M10)+(M11*$G$13))/1000</f>
        <v>0</v>
      </c>
      <c r="N12" s="272">
        <f>(($G$11*N10)+($G$15*N11))/1000</f>
        <v>0</v>
      </c>
      <c r="O12" s="349">
        <f>(($G$9*O10)+(O11*$G$13))/1000</f>
        <v>0</v>
      </c>
      <c r="P12" s="272">
        <f>(($G$11*P10)+($G$15*P11))/1000</f>
        <v>0</v>
      </c>
      <c r="Q12" s="349">
        <f>(($G$9*Q10)+(Q11*$G$13))/1000</f>
        <v>0</v>
      </c>
      <c r="R12" s="272">
        <f>(($G$11*R10)+($G$15*R11))/1000</f>
        <v>0</v>
      </c>
    </row>
    <row r="13" spans="2:19" ht="15" customHeight="1" thickBot="1" x14ac:dyDescent="0.35">
      <c r="B13" s="469"/>
      <c r="C13" s="489"/>
      <c r="D13" s="123">
        <v>0.7</v>
      </c>
      <c r="E13" s="124">
        <v>1.2</v>
      </c>
      <c r="F13" s="125">
        <v>2.4</v>
      </c>
      <c r="G13" s="244">
        <f>IF(AND(D13&gt;0,E13&gt;0,F13&gt;0),(165*(D13*E13*F13))/0.85,"")</f>
        <v>391.34117647058821</v>
      </c>
      <c r="H13" s="127"/>
      <c r="I13" s="480"/>
      <c r="L13" s="215"/>
      <c r="M13" s="246"/>
      <c r="N13" s="246"/>
      <c r="O13" s="246"/>
      <c r="P13" s="246"/>
      <c r="Q13" s="246"/>
      <c r="R13" s="246"/>
    </row>
    <row r="14" spans="2:19" ht="25.5" customHeight="1" x14ac:dyDescent="0.3">
      <c r="B14" s="469"/>
      <c r="C14" s="486" t="s">
        <v>132</v>
      </c>
      <c r="D14" s="458" t="s">
        <v>100</v>
      </c>
      <c r="E14" s="459"/>
      <c r="F14" s="460"/>
      <c r="G14" s="261" t="s">
        <v>97</v>
      </c>
      <c r="H14" s="262" t="s">
        <v>98</v>
      </c>
      <c r="I14" s="500">
        <f>IF(AND(G15&gt;0,H15&gt;0),(H15*G15*0.85)/1000,0)</f>
        <v>0</v>
      </c>
      <c r="L14" s="208"/>
      <c r="M14" s="246"/>
      <c r="N14" s="246"/>
      <c r="O14" s="246"/>
      <c r="P14" s="246"/>
      <c r="Q14" s="246"/>
      <c r="R14" s="246"/>
    </row>
    <row r="15" spans="2:19" ht="15" customHeight="1" thickBot="1" x14ac:dyDescent="0.35">
      <c r="B15" s="510"/>
      <c r="C15" s="492"/>
      <c r="D15" s="132">
        <v>0.7</v>
      </c>
      <c r="E15" s="133">
        <v>1.2</v>
      </c>
      <c r="F15" s="134">
        <v>2.4</v>
      </c>
      <c r="G15" s="263">
        <f>IF(AND(D15&gt;0,E15&gt;0,F15&gt;0),(165*(D15*E15*F15))/0.85,"")</f>
        <v>391.34117647058821</v>
      </c>
      <c r="H15" s="135"/>
      <c r="I15" s="501"/>
      <c r="L15" s="208"/>
    </row>
    <row r="16" spans="2:19" ht="25.5" x14ac:dyDescent="0.3">
      <c r="B16" s="468" t="s">
        <v>101</v>
      </c>
      <c r="C16" s="488" t="s">
        <v>141</v>
      </c>
      <c r="D16" s="518" t="s">
        <v>96</v>
      </c>
      <c r="E16" s="519"/>
      <c r="F16" s="519"/>
      <c r="G16" s="241" t="s">
        <v>97</v>
      </c>
      <c r="H16" s="242" t="s">
        <v>98</v>
      </c>
      <c r="I16" s="479">
        <f>IF(AND(G17&gt;0,H17&gt;0),(H17*G17*0.9)/1000,0)</f>
        <v>0</v>
      </c>
    </row>
    <row r="17" spans="2:9" ht="15" customHeight="1" thickBot="1" x14ac:dyDescent="0.35">
      <c r="B17" s="469"/>
      <c r="C17" s="489"/>
      <c r="D17" s="481">
        <v>1.2</v>
      </c>
      <c r="E17" s="482"/>
      <c r="F17" s="482"/>
      <c r="G17" s="243">
        <f>IF(D17&gt;0,(120*(D17*D17))/0.9,"")</f>
        <v>191.99999999999997</v>
      </c>
      <c r="H17" s="128"/>
      <c r="I17" s="480"/>
    </row>
    <row r="18" spans="2:9" ht="25.5" customHeight="1" x14ac:dyDescent="0.3">
      <c r="B18" s="469"/>
      <c r="C18" s="486" t="s">
        <v>131</v>
      </c>
      <c r="D18" s="438" t="s">
        <v>96</v>
      </c>
      <c r="E18" s="485"/>
      <c r="F18" s="485"/>
      <c r="G18" s="261" t="s">
        <v>97</v>
      </c>
      <c r="H18" s="262" t="s">
        <v>98</v>
      </c>
      <c r="I18" s="500">
        <f>IF(AND(G19&gt;0,H19&gt;0),(H19*G19*0.9)/1000,0)</f>
        <v>0</v>
      </c>
    </row>
    <row r="19" spans="2:9" ht="15" customHeight="1" thickBot="1" x14ac:dyDescent="0.35">
      <c r="B19" s="469"/>
      <c r="C19" s="487"/>
      <c r="D19" s="470">
        <v>1.5</v>
      </c>
      <c r="E19" s="471"/>
      <c r="F19" s="471"/>
      <c r="G19" s="264">
        <f>IF(D19&gt;0,(120*(D19*D19))/0.9,"")</f>
        <v>300</v>
      </c>
      <c r="H19" s="131"/>
      <c r="I19" s="501"/>
    </row>
    <row r="20" spans="2:9" ht="25.5" x14ac:dyDescent="0.3">
      <c r="B20" s="469"/>
      <c r="C20" s="569" t="s">
        <v>142</v>
      </c>
      <c r="D20" s="507" t="s">
        <v>100</v>
      </c>
      <c r="E20" s="508"/>
      <c r="F20" s="509"/>
      <c r="G20" s="239" t="s">
        <v>97</v>
      </c>
      <c r="H20" s="240" t="s">
        <v>98</v>
      </c>
      <c r="I20" s="512">
        <f>IF(AND(G21&gt;0,H21&gt;0),(H21*G21*0.9)/1000,0)</f>
        <v>0</v>
      </c>
    </row>
    <row r="21" spans="2:9" ht="15" customHeight="1" thickBot="1" x14ac:dyDescent="0.35">
      <c r="B21" s="469"/>
      <c r="C21" s="489"/>
      <c r="D21" s="123">
        <v>0.7</v>
      </c>
      <c r="E21" s="124">
        <v>1.2</v>
      </c>
      <c r="F21" s="125">
        <v>2.4</v>
      </c>
      <c r="G21" s="359">
        <f>IF(AND(D21&gt;0,E21&gt;0,F21&gt;0),(150*(D21*E21*F21))/0.9,"")</f>
        <v>335.99999999999994</v>
      </c>
      <c r="H21" s="127">
        <v>0</v>
      </c>
      <c r="I21" s="480"/>
    </row>
    <row r="22" spans="2:9" ht="25.5" x14ac:dyDescent="0.3">
      <c r="B22" s="469"/>
      <c r="C22" s="472" t="s">
        <v>99</v>
      </c>
      <c r="D22" s="458" t="s">
        <v>100</v>
      </c>
      <c r="E22" s="459"/>
      <c r="F22" s="460"/>
      <c r="G22" s="261" t="s">
        <v>97</v>
      </c>
      <c r="H22" s="262" t="s">
        <v>98</v>
      </c>
      <c r="I22" s="500">
        <f>IF(AND(G23&gt;0,H23&gt;0),(H23*G23*0.9)/1000,0)</f>
        <v>0</v>
      </c>
    </row>
    <row r="23" spans="2:9" ht="15" customHeight="1" thickBot="1" x14ac:dyDescent="0.35">
      <c r="B23" s="469"/>
      <c r="C23" s="472"/>
      <c r="D23" s="132">
        <v>0.7</v>
      </c>
      <c r="E23" s="133">
        <v>1.2</v>
      </c>
      <c r="F23" s="134">
        <v>2.4</v>
      </c>
      <c r="G23" s="263">
        <f>IF(AND(D23&gt;0,E23&gt;0,F23&gt;0),(150*(D23*E23*F23))/0.9,"")</f>
        <v>335.99999999999994</v>
      </c>
      <c r="H23" s="135"/>
      <c r="I23" s="501"/>
    </row>
    <row r="24" spans="2:9" ht="26.25" customHeight="1" x14ac:dyDescent="0.3">
      <c r="B24" s="473" t="s">
        <v>155</v>
      </c>
      <c r="C24" s="474"/>
      <c r="D24" s="518" t="s">
        <v>103</v>
      </c>
      <c r="E24" s="519"/>
      <c r="F24" s="519"/>
      <c r="G24" s="241" t="s">
        <v>97</v>
      </c>
      <c r="H24" s="242" t="s">
        <v>98</v>
      </c>
      <c r="I24" s="479">
        <f>((G25*(D25/100))*H25)/1000</f>
        <v>0</v>
      </c>
    </row>
    <row r="25" spans="2:9" ht="15" customHeight="1" thickBot="1" x14ac:dyDescent="0.35">
      <c r="B25" s="475"/>
      <c r="C25" s="476"/>
      <c r="D25" s="481"/>
      <c r="E25" s="482"/>
      <c r="F25" s="482"/>
      <c r="G25" s="355"/>
      <c r="H25" s="128"/>
      <c r="I25" s="480"/>
    </row>
    <row r="26" spans="2:9" ht="26.25" customHeight="1" x14ac:dyDescent="0.3">
      <c r="B26" s="493" t="s">
        <v>134</v>
      </c>
      <c r="C26" s="494"/>
      <c r="D26" s="438" t="s">
        <v>103</v>
      </c>
      <c r="E26" s="439"/>
      <c r="F26" s="440"/>
      <c r="G26" s="261" t="s">
        <v>97</v>
      </c>
      <c r="H26" s="262" t="s">
        <v>98</v>
      </c>
      <c r="I26" s="432">
        <f>((G27*(D27/100))*H27)/1000</f>
        <v>0</v>
      </c>
    </row>
    <row r="27" spans="2:9" ht="15" customHeight="1" thickBot="1" x14ac:dyDescent="0.35">
      <c r="B27" s="495"/>
      <c r="C27" s="496"/>
      <c r="D27" s="443">
        <v>45</v>
      </c>
      <c r="E27" s="444"/>
      <c r="F27" s="445"/>
      <c r="G27" s="353">
        <v>600</v>
      </c>
      <c r="H27" s="347"/>
      <c r="I27" s="433"/>
    </row>
    <row r="28" spans="2:9" ht="15" customHeight="1" x14ac:dyDescent="0.3">
      <c r="B28" s="446" t="s">
        <v>154</v>
      </c>
      <c r="C28" s="502"/>
      <c r="D28" s="504" t="s">
        <v>105</v>
      </c>
      <c r="E28" s="505"/>
      <c r="F28" s="506"/>
      <c r="G28" s="450" t="s">
        <v>103</v>
      </c>
      <c r="H28" s="452"/>
      <c r="I28" s="477">
        <f>IF(AND(D29&gt;0,E29&gt;0,F29&gt;0,G29&gt;0),(((2*G29)+(30*D29)+60)*((D29*E29*F29)*0.95)/1000),0)</f>
        <v>0</v>
      </c>
    </row>
    <row r="29" spans="2:9" ht="18" customHeight="1" thickBot="1" x14ac:dyDescent="0.35">
      <c r="B29" s="448"/>
      <c r="C29" s="503"/>
      <c r="D29" s="139">
        <v>0</v>
      </c>
      <c r="E29" s="140">
        <v>0</v>
      </c>
      <c r="F29" s="141">
        <v>0</v>
      </c>
      <c r="G29" s="456">
        <v>30</v>
      </c>
      <c r="H29" s="457"/>
      <c r="I29" s="478"/>
    </row>
    <row r="30" spans="2:9" ht="15" customHeight="1" x14ac:dyDescent="0.3">
      <c r="B30" s="434" t="s">
        <v>135</v>
      </c>
      <c r="C30" s="463"/>
      <c r="D30" s="465" t="s">
        <v>105</v>
      </c>
      <c r="E30" s="466"/>
      <c r="F30" s="467"/>
      <c r="G30" s="438" t="s">
        <v>103</v>
      </c>
      <c r="H30" s="440"/>
      <c r="I30" s="432">
        <f>IF(AND(D31&gt;0,E31&gt;0,F31&gt;0,G31&gt;0),(((2*G31)+(30*D31)+60)*((D31*E31*F31)*0.95)/1000),0)</f>
        <v>0</v>
      </c>
    </row>
    <row r="31" spans="2:9" ht="18" customHeight="1" thickBot="1" x14ac:dyDescent="0.35">
      <c r="B31" s="436"/>
      <c r="C31" s="464"/>
      <c r="D31" s="144">
        <v>0</v>
      </c>
      <c r="E31" s="145">
        <v>0</v>
      </c>
      <c r="F31" s="146">
        <v>0</v>
      </c>
      <c r="G31" s="444">
        <v>30</v>
      </c>
      <c r="H31" s="445"/>
      <c r="I31" s="433"/>
    </row>
    <row r="32" spans="2:9" ht="14.25" customHeight="1" x14ac:dyDescent="0.3">
      <c r="B32" s="446" t="s">
        <v>106</v>
      </c>
      <c r="C32" s="502"/>
      <c r="D32" s="504" t="s">
        <v>100</v>
      </c>
      <c r="E32" s="505"/>
      <c r="F32" s="506"/>
      <c r="G32" s="450" t="s">
        <v>103</v>
      </c>
      <c r="H32" s="452"/>
      <c r="I32" s="477">
        <f>IF(AND(D33&gt;0,E33&gt;0,F33&gt;0,G33&gt;0),(((5*G33)+(15*D33)+35)*((D33*E33*F33)*0.95)/1000),0)</f>
        <v>0</v>
      </c>
    </row>
    <row r="33" spans="2:9" ht="15" thickBot="1" x14ac:dyDescent="0.35">
      <c r="B33" s="448"/>
      <c r="C33" s="503"/>
      <c r="D33" s="139">
        <v>0</v>
      </c>
      <c r="E33" s="140">
        <v>0</v>
      </c>
      <c r="F33" s="141">
        <v>0</v>
      </c>
      <c r="G33" s="456">
        <v>32</v>
      </c>
      <c r="H33" s="457"/>
      <c r="I33" s="478"/>
    </row>
    <row r="34" spans="2:9" ht="14.25" customHeight="1" x14ac:dyDescent="0.3">
      <c r="B34" s="434" t="s">
        <v>136</v>
      </c>
      <c r="C34" s="463"/>
      <c r="D34" s="465" t="s">
        <v>100</v>
      </c>
      <c r="E34" s="466"/>
      <c r="F34" s="467"/>
      <c r="G34" s="438" t="s">
        <v>103</v>
      </c>
      <c r="H34" s="440"/>
      <c r="I34" s="432">
        <f>IF(AND(D35&gt;0,E35&gt;0,F35&gt;0,G35&gt;0),(((5*G35)+(15*D35)+35)*((D35*E35*F35)*0.95)/1000),0)</f>
        <v>0</v>
      </c>
    </row>
    <row r="35" spans="2:9" ht="15" thickBot="1" x14ac:dyDescent="0.35">
      <c r="B35" s="436"/>
      <c r="C35" s="464"/>
      <c r="D35" s="144">
        <v>0</v>
      </c>
      <c r="E35" s="145">
        <v>0</v>
      </c>
      <c r="F35" s="146">
        <v>0</v>
      </c>
      <c r="G35" s="444">
        <v>32</v>
      </c>
      <c r="H35" s="445"/>
      <c r="I35" s="433"/>
    </row>
    <row r="36" spans="2:9" ht="14.25" customHeight="1" x14ac:dyDescent="0.3">
      <c r="B36" s="446" t="s">
        <v>107</v>
      </c>
      <c r="C36" s="447"/>
      <c r="D36" s="507" t="s">
        <v>100</v>
      </c>
      <c r="E36" s="508"/>
      <c r="F36" s="509"/>
      <c r="G36" s="450" t="s">
        <v>103</v>
      </c>
      <c r="H36" s="452"/>
      <c r="I36" s="477">
        <f>IF(AND(D37&gt;0,E37&gt;0,F37&gt;0,G37&gt;0),((((5*G37)+(15*D37)+35)*1.2)*((D37*E37*F37)*0.95)/1000),0)</f>
        <v>0</v>
      </c>
    </row>
    <row r="37" spans="2:9" ht="15" customHeight="1" thickBot="1" x14ac:dyDescent="0.35">
      <c r="B37" s="448"/>
      <c r="C37" s="449"/>
      <c r="D37" s="139">
        <v>0</v>
      </c>
      <c r="E37" s="140">
        <v>0</v>
      </c>
      <c r="F37" s="141">
        <v>0</v>
      </c>
      <c r="G37" s="483">
        <v>32</v>
      </c>
      <c r="H37" s="484"/>
      <c r="I37" s="478"/>
    </row>
    <row r="38" spans="2:9" ht="14.25" customHeight="1" x14ac:dyDescent="0.3">
      <c r="B38" s="434" t="s">
        <v>137</v>
      </c>
      <c r="C38" s="435"/>
      <c r="D38" s="458" t="s">
        <v>100</v>
      </c>
      <c r="E38" s="459"/>
      <c r="F38" s="460"/>
      <c r="G38" s="438" t="s">
        <v>103</v>
      </c>
      <c r="H38" s="440"/>
      <c r="I38" s="432">
        <f>IF(AND(D39&gt;0,E39&gt;0,F39&gt;0,G39&gt;0),((((5*G39)+(15*D39)+35)*1.2)*((D39*E39*F39)*0.95)/1000),0)</f>
        <v>0</v>
      </c>
    </row>
    <row r="39" spans="2:9" ht="15" customHeight="1" thickBot="1" x14ac:dyDescent="0.35">
      <c r="B39" s="436"/>
      <c r="C39" s="437"/>
      <c r="D39" s="144">
        <v>0</v>
      </c>
      <c r="E39" s="145">
        <v>0</v>
      </c>
      <c r="F39" s="146">
        <v>0</v>
      </c>
      <c r="G39" s="461">
        <v>32</v>
      </c>
      <c r="H39" s="462"/>
      <c r="I39" s="433"/>
    </row>
    <row r="40" spans="2:9" ht="25.5" x14ac:dyDescent="0.3">
      <c r="B40" s="446" t="s">
        <v>153</v>
      </c>
      <c r="C40" s="447"/>
      <c r="D40" s="450" t="s">
        <v>103</v>
      </c>
      <c r="E40" s="451"/>
      <c r="F40" s="452"/>
      <c r="G40" s="239" t="s">
        <v>97</v>
      </c>
      <c r="H40" s="240" t="s">
        <v>98</v>
      </c>
      <c r="I40" s="453">
        <f>((G41*(D41/100))*H41)/1000</f>
        <v>0</v>
      </c>
    </row>
    <row r="41" spans="2:9" ht="15" thickBot="1" x14ac:dyDescent="0.35">
      <c r="B41" s="448"/>
      <c r="C41" s="449"/>
      <c r="D41" s="455"/>
      <c r="E41" s="456"/>
      <c r="F41" s="457"/>
      <c r="G41" s="142"/>
      <c r="H41" s="143"/>
      <c r="I41" s="454"/>
    </row>
    <row r="42" spans="2:9" ht="25.5" x14ac:dyDescent="0.3">
      <c r="B42" s="434" t="s">
        <v>138</v>
      </c>
      <c r="C42" s="435"/>
      <c r="D42" s="438" t="s">
        <v>103</v>
      </c>
      <c r="E42" s="439"/>
      <c r="F42" s="440"/>
      <c r="G42" s="261" t="s">
        <v>97</v>
      </c>
      <c r="H42" s="262" t="s">
        <v>98</v>
      </c>
      <c r="I42" s="441">
        <f>((G43*(D43/100))*H43)/1000</f>
        <v>0</v>
      </c>
    </row>
    <row r="43" spans="2:9" ht="15" thickBot="1" x14ac:dyDescent="0.35">
      <c r="B43" s="436"/>
      <c r="C43" s="437"/>
      <c r="D43" s="443"/>
      <c r="E43" s="444"/>
      <c r="F43" s="445"/>
      <c r="G43" s="147"/>
      <c r="H43" s="148"/>
      <c r="I43" s="442"/>
    </row>
    <row r="44" spans="2:9" ht="21.75" customHeight="1" x14ac:dyDescent="0.3">
      <c r="B44" s="446" t="s">
        <v>152</v>
      </c>
      <c r="C44" s="447"/>
      <c r="D44" s="450" t="s">
        <v>110</v>
      </c>
      <c r="E44" s="451"/>
      <c r="F44" s="452"/>
      <c r="G44" s="451" t="s">
        <v>111</v>
      </c>
      <c r="H44" s="452"/>
      <c r="I44" s="453">
        <f>((D45*G45)*0.95)/1000</f>
        <v>0</v>
      </c>
    </row>
    <row r="45" spans="2:9" ht="15" thickBot="1" x14ac:dyDescent="0.35">
      <c r="B45" s="448"/>
      <c r="C45" s="449"/>
      <c r="D45" s="455"/>
      <c r="E45" s="456"/>
      <c r="F45" s="457"/>
      <c r="G45" s="456"/>
      <c r="H45" s="457"/>
      <c r="I45" s="454"/>
    </row>
    <row r="46" spans="2:9" ht="21.75" customHeight="1" x14ac:dyDescent="0.3">
      <c r="B46" s="434" t="s">
        <v>139</v>
      </c>
      <c r="C46" s="435"/>
      <c r="D46" s="438" t="s">
        <v>110</v>
      </c>
      <c r="E46" s="439"/>
      <c r="F46" s="440"/>
      <c r="G46" s="439" t="s">
        <v>111</v>
      </c>
      <c r="H46" s="440"/>
      <c r="I46" s="441">
        <f>((D47*G47)*0.95)/1000</f>
        <v>0</v>
      </c>
    </row>
    <row r="47" spans="2:9" ht="15" thickBot="1" x14ac:dyDescent="0.35">
      <c r="B47" s="436"/>
      <c r="C47" s="437"/>
      <c r="D47" s="443"/>
      <c r="E47" s="444"/>
      <c r="F47" s="445"/>
      <c r="G47" s="444"/>
      <c r="H47" s="445"/>
      <c r="I47" s="442"/>
    </row>
    <row r="48" spans="2:9" ht="9" customHeight="1" x14ac:dyDescent="0.3">
      <c r="C48" s="114"/>
      <c r="D48" s="114"/>
      <c r="E48" s="114"/>
      <c r="F48" s="115"/>
      <c r="G48" s="116"/>
      <c r="I48" s="251"/>
    </row>
    <row r="49" spans="2:19" ht="9" customHeight="1" x14ac:dyDescent="0.3">
      <c r="B49" s="246"/>
      <c r="C49" s="248"/>
      <c r="D49" s="114"/>
      <c r="E49" s="114"/>
      <c r="F49" s="115"/>
      <c r="G49" s="116"/>
      <c r="I49" s="251"/>
    </row>
    <row r="50" spans="2:19" ht="9" customHeight="1" thickBot="1" x14ac:dyDescent="0.35">
      <c r="B50" s="246"/>
      <c r="C50" s="248"/>
      <c r="D50" s="114"/>
      <c r="E50" s="114"/>
      <c r="F50" s="115"/>
      <c r="G50" s="116"/>
      <c r="I50" s="251"/>
    </row>
    <row r="51" spans="2:19" ht="43.5" customHeight="1" thickBot="1" x14ac:dyDescent="0.35">
      <c r="B51" s="258" t="s">
        <v>112</v>
      </c>
      <c r="C51" s="259"/>
      <c r="D51" s="95"/>
      <c r="E51" s="95"/>
      <c r="F51" s="95"/>
      <c r="G51" s="95"/>
      <c r="I51" s="267" t="s">
        <v>113</v>
      </c>
    </row>
    <row r="52" spans="2:19" ht="14.25" customHeight="1" x14ac:dyDescent="0.3">
      <c r="B52" s="473" t="s">
        <v>140</v>
      </c>
      <c r="C52" s="474"/>
      <c r="D52" s="551" t="s">
        <v>115</v>
      </c>
      <c r="E52" s="552"/>
      <c r="F52" s="553"/>
      <c r="G52" s="554" t="s">
        <v>116</v>
      </c>
      <c r="H52" s="555"/>
      <c r="I52" s="556">
        <f>(D53*G53)*0.85</f>
        <v>0</v>
      </c>
    </row>
    <row r="53" spans="2:19" ht="15" customHeight="1" thickBot="1" x14ac:dyDescent="0.35">
      <c r="B53" s="563"/>
      <c r="C53" s="564"/>
      <c r="D53" s="558"/>
      <c r="E53" s="559"/>
      <c r="F53" s="560"/>
      <c r="G53" s="561"/>
      <c r="H53" s="562"/>
      <c r="I53" s="557"/>
    </row>
    <row r="54" spans="2:19" ht="14.25" customHeight="1" x14ac:dyDescent="0.3">
      <c r="B54" s="530" t="s">
        <v>144</v>
      </c>
      <c r="C54" s="531"/>
      <c r="D54" s="532" t="s">
        <v>115</v>
      </c>
      <c r="E54" s="533"/>
      <c r="F54" s="534"/>
      <c r="G54" s="535" t="s">
        <v>116</v>
      </c>
      <c r="H54" s="536"/>
      <c r="I54" s="537">
        <f>(D55*G55)*0.85</f>
        <v>0</v>
      </c>
    </row>
    <row r="55" spans="2:19" ht="15" customHeight="1" thickBot="1" x14ac:dyDescent="0.35">
      <c r="B55" s="495"/>
      <c r="C55" s="496"/>
      <c r="D55" s="540"/>
      <c r="E55" s="541"/>
      <c r="F55" s="542"/>
      <c r="G55" s="543"/>
      <c r="H55" s="544"/>
      <c r="I55" s="433"/>
    </row>
    <row r="56" spans="2:19" ht="14.25" customHeight="1" x14ac:dyDescent="0.3">
      <c r="B56" s="565" t="s">
        <v>145</v>
      </c>
      <c r="C56" s="566"/>
      <c r="D56" s="450" t="s">
        <v>115</v>
      </c>
      <c r="E56" s="451"/>
      <c r="F56" s="452"/>
      <c r="G56" s="567" t="s">
        <v>116</v>
      </c>
      <c r="H56" s="568"/>
      <c r="I56" s="477">
        <f>(D57*G57)*0.9</f>
        <v>0</v>
      </c>
      <c r="L56" s="388"/>
      <c r="M56" s="388"/>
      <c r="N56" s="389"/>
      <c r="O56" s="389"/>
      <c r="P56" s="389"/>
      <c r="Q56" s="390"/>
      <c r="R56" s="390"/>
      <c r="S56" s="390"/>
    </row>
    <row r="57" spans="2:19" ht="15" customHeight="1" thickBot="1" x14ac:dyDescent="0.35">
      <c r="B57" s="563"/>
      <c r="C57" s="564"/>
      <c r="D57" s="558"/>
      <c r="E57" s="559"/>
      <c r="F57" s="560"/>
      <c r="G57" s="561"/>
      <c r="H57" s="562"/>
      <c r="I57" s="557"/>
      <c r="L57" s="388"/>
      <c r="M57" s="388"/>
      <c r="N57" s="391"/>
      <c r="O57" s="391"/>
      <c r="P57" s="391"/>
      <c r="Q57" s="119"/>
      <c r="R57" s="119"/>
      <c r="S57" s="390"/>
    </row>
    <row r="58" spans="2:19" ht="14.25" customHeight="1" x14ac:dyDescent="0.3">
      <c r="B58" s="530" t="s">
        <v>146</v>
      </c>
      <c r="C58" s="531"/>
      <c r="D58" s="532" t="s">
        <v>115</v>
      </c>
      <c r="E58" s="533"/>
      <c r="F58" s="534"/>
      <c r="G58" s="535" t="s">
        <v>116</v>
      </c>
      <c r="H58" s="536"/>
      <c r="I58" s="537">
        <f>(D59*G59)*0.9</f>
        <v>0</v>
      </c>
      <c r="L58" s="388"/>
      <c r="M58" s="388"/>
      <c r="N58" s="389"/>
      <c r="O58" s="389"/>
      <c r="P58" s="389"/>
      <c r="Q58" s="390"/>
      <c r="R58" s="390"/>
      <c r="S58" s="390"/>
    </row>
    <row r="59" spans="2:19" ht="15" customHeight="1" thickBot="1" x14ac:dyDescent="0.35">
      <c r="B59" s="495"/>
      <c r="C59" s="496"/>
      <c r="D59" s="540"/>
      <c r="E59" s="541"/>
      <c r="F59" s="542"/>
      <c r="G59" s="543"/>
      <c r="H59" s="544"/>
      <c r="I59" s="433"/>
      <c r="L59" s="388"/>
      <c r="M59" s="388"/>
      <c r="N59" s="391"/>
      <c r="O59" s="391"/>
      <c r="P59" s="391"/>
      <c r="Q59" s="119"/>
      <c r="R59" s="119"/>
      <c r="S59" s="390"/>
    </row>
    <row r="60" spans="2:19" ht="16.5" customHeight="1" x14ac:dyDescent="0.3">
      <c r="B60" s="565" t="s">
        <v>133</v>
      </c>
      <c r="C60" s="566"/>
      <c r="D60" s="450" t="s">
        <v>115</v>
      </c>
      <c r="E60" s="451"/>
      <c r="F60" s="452"/>
      <c r="G60" s="567" t="s">
        <v>117</v>
      </c>
      <c r="H60" s="568"/>
      <c r="I60" s="477">
        <f>(D61*G61)</f>
        <v>0</v>
      </c>
    </row>
    <row r="61" spans="2:19" ht="15" customHeight="1" thickBot="1" x14ac:dyDescent="0.35">
      <c r="B61" s="563"/>
      <c r="C61" s="564"/>
      <c r="D61" s="558"/>
      <c r="E61" s="559"/>
      <c r="F61" s="560"/>
      <c r="G61" s="561"/>
      <c r="H61" s="562"/>
      <c r="I61" s="557"/>
    </row>
    <row r="62" spans="2:19" ht="16.5" customHeight="1" x14ac:dyDescent="0.3">
      <c r="B62" s="493" t="s">
        <v>134</v>
      </c>
      <c r="C62" s="494"/>
      <c r="D62" s="438" t="s">
        <v>115</v>
      </c>
      <c r="E62" s="439"/>
      <c r="F62" s="440"/>
      <c r="G62" s="538" t="s">
        <v>117</v>
      </c>
      <c r="H62" s="539"/>
      <c r="I62" s="432">
        <f>(D63*G63)</f>
        <v>0</v>
      </c>
    </row>
    <row r="63" spans="2:19" ht="15" customHeight="1" thickBot="1" x14ac:dyDescent="0.35">
      <c r="B63" s="493"/>
      <c r="C63" s="494"/>
      <c r="D63" s="527"/>
      <c r="E63" s="528"/>
      <c r="F63" s="529"/>
      <c r="G63" s="545"/>
      <c r="H63" s="546"/>
      <c r="I63" s="432"/>
    </row>
    <row r="64" spans="2:19" ht="14.25" customHeight="1" x14ac:dyDescent="0.3">
      <c r="B64" s="547" t="s">
        <v>147</v>
      </c>
      <c r="C64" s="548"/>
      <c r="D64" s="551" t="s">
        <v>115</v>
      </c>
      <c r="E64" s="552"/>
      <c r="F64" s="553"/>
      <c r="G64" s="554" t="s">
        <v>117</v>
      </c>
      <c r="H64" s="555"/>
      <c r="I64" s="556">
        <f>(D65*G65)*0.95</f>
        <v>0</v>
      </c>
    </row>
    <row r="65" spans="2:9" ht="15" customHeight="1" thickBot="1" x14ac:dyDescent="0.35">
      <c r="B65" s="549"/>
      <c r="C65" s="550"/>
      <c r="D65" s="558"/>
      <c r="E65" s="559"/>
      <c r="F65" s="560"/>
      <c r="G65" s="561"/>
      <c r="H65" s="562"/>
      <c r="I65" s="557"/>
    </row>
    <row r="66" spans="2:9" ht="14.25" customHeight="1" x14ac:dyDescent="0.3">
      <c r="B66" s="434" t="s">
        <v>135</v>
      </c>
      <c r="C66" s="463"/>
      <c r="D66" s="438" t="s">
        <v>115</v>
      </c>
      <c r="E66" s="439"/>
      <c r="F66" s="440"/>
      <c r="G66" s="538" t="s">
        <v>117</v>
      </c>
      <c r="H66" s="539"/>
      <c r="I66" s="432">
        <f>(D67*G67)*0.95</f>
        <v>0</v>
      </c>
    </row>
    <row r="67" spans="2:9" ht="15" customHeight="1" thickBot="1" x14ac:dyDescent="0.35">
      <c r="B67" s="436"/>
      <c r="C67" s="464"/>
      <c r="D67" s="540"/>
      <c r="E67" s="541"/>
      <c r="F67" s="542"/>
      <c r="G67" s="543"/>
      <c r="H67" s="544"/>
      <c r="I67" s="433"/>
    </row>
    <row r="68" spans="2:9" ht="14.25" customHeight="1" x14ac:dyDescent="0.3">
      <c r="B68" s="446" t="s">
        <v>143</v>
      </c>
      <c r="C68" s="502"/>
      <c r="D68" s="450" t="s">
        <v>115</v>
      </c>
      <c r="E68" s="451"/>
      <c r="F68" s="452"/>
      <c r="G68" s="567" t="s">
        <v>117</v>
      </c>
      <c r="H68" s="568"/>
      <c r="I68" s="477">
        <f>(D69*G69)*0.95</f>
        <v>0</v>
      </c>
    </row>
    <row r="69" spans="2:9" ht="15" customHeight="1" thickBot="1" x14ac:dyDescent="0.35">
      <c r="B69" s="549"/>
      <c r="C69" s="550"/>
      <c r="D69" s="558"/>
      <c r="E69" s="559"/>
      <c r="F69" s="560"/>
      <c r="G69" s="561"/>
      <c r="H69" s="562"/>
      <c r="I69" s="557"/>
    </row>
    <row r="70" spans="2:9" ht="14.25" customHeight="1" x14ac:dyDescent="0.3">
      <c r="B70" s="434" t="s">
        <v>148</v>
      </c>
      <c r="C70" s="463"/>
      <c r="D70" s="438" t="s">
        <v>115</v>
      </c>
      <c r="E70" s="439"/>
      <c r="F70" s="440"/>
      <c r="G70" s="538" t="s">
        <v>117</v>
      </c>
      <c r="H70" s="539"/>
      <c r="I70" s="432">
        <f>(D71*G71)*0.95</f>
        <v>0</v>
      </c>
    </row>
    <row r="71" spans="2:9" ht="15" customHeight="1" thickBot="1" x14ac:dyDescent="0.35">
      <c r="B71" s="434"/>
      <c r="C71" s="463"/>
      <c r="D71" s="527"/>
      <c r="E71" s="528"/>
      <c r="F71" s="529"/>
      <c r="G71" s="545"/>
      <c r="H71" s="546"/>
      <c r="I71" s="432"/>
    </row>
    <row r="72" spans="2:9" ht="14.25" customHeight="1" x14ac:dyDescent="0.3">
      <c r="B72" s="547" t="s">
        <v>149</v>
      </c>
      <c r="C72" s="548"/>
      <c r="D72" s="551" t="s">
        <v>115</v>
      </c>
      <c r="E72" s="552"/>
      <c r="F72" s="553"/>
      <c r="G72" s="554" t="s">
        <v>117</v>
      </c>
      <c r="H72" s="555"/>
      <c r="I72" s="556">
        <f>(D73*G73)*0.95</f>
        <v>0</v>
      </c>
    </row>
    <row r="73" spans="2:9" ht="15" customHeight="1" thickBot="1" x14ac:dyDescent="0.35">
      <c r="B73" s="549"/>
      <c r="C73" s="550"/>
      <c r="D73" s="558"/>
      <c r="E73" s="559"/>
      <c r="F73" s="560"/>
      <c r="G73" s="561"/>
      <c r="H73" s="562"/>
      <c r="I73" s="557"/>
    </row>
    <row r="74" spans="2:9" ht="14.25" customHeight="1" x14ac:dyDescent="0.3">
      <c r="B74" s="434" t="s">
        <v>137</v>
      </c>
      <c r="C74" s="463"/>
      <c r="D74" s="438" t="s">
        <v>115</v>
      </c>
      <c r="E74" s="439"/>
      <c r="F74" s="440"/>
      <c r="G74" s="538" t="s">
        <v>117</v>
      </c>
      <c r="H74" s="539"/>
      <c r="I74" s="432">
        <f>(D75*G75)*0.95</f>
        <v>0</v>
      </c>
    </row>
    <row r="75" spans="2:9" ht="15" customHeight="1" thickBot="1" x14ac:dyDescent="0.35">
      <c r="B75" s="436"/>
      <c r="C75" s="464"/>
      <c r="D75" s="540"/>
      <c r="E75" s="541"/>
      <c r="F75" s="542"/>
      <c r="G75" s="543"/>
      <c r="H75" s="544"/>
      <c r="I75" s="433"/>
    </row>
    <row r="76" spans="2:9" ht="14.25" customHeight="1" x14ac:dyDescent="0.3">
      <c r="B76" s="565" t="str">
        <f>B40</f>
        <v xml:space="preserve">Autre fourrage en balle </v>
      </c>
      <c r="C76" s="566"/>
      <c r="D76" s="450" t="s">
        <v>115</v>
      </c>
      <c r="E76" s="451"/>
      <c r="F76" s="452"/>
      <c r="G76" s="567" t="s">
        <v>117</v>
      </c>
      <c r="H76" s="568"/>
      <c r="I76" s="477">
        <f>(D77*G77)</f>
        <v>0</v>
      </c>
    </row>
    <row r="77" spans="2:9" ht="15" customHeight="1" thickBot="1" x14ac:dyDescent="0.35">
      <c r="B77" s="563"/>
      <c r="C77" s="564"/>
      <c r="D77" s="558"/>
      <c r="E77" s="559"/>
      <c r="F77" s="560"/>
      <c r="G77" s="561"/>
      <c r="H77" s="562"/>
      <c r="I77" s="557"/>
    </row>
    <row r="78" spans="2:9" ht="14.25" customHeight="1" x14ac:dyDescent="0.3">
      <c r="B78" s="530" t="str">
        <f>B42</f>
        <v>Autre fourrage en balle "année normale"</v>
      </c>
      <c r="C78" s="531"/>
      <c r="D78" s="532" t="s">
        <v>115</v>
      </c>
      <c r="E78" s="533"/>
      <c r="F78" s="534"/>
      <c r="G78" s="535" t="s">
        <v>117</v>
      </c>
      <c r="H78" s="536"/>
      <c r="I78" s="537">
        <f>(D79*G79)</f>
        <v>0</v>
      </c>
    </row>
    <row r="79" spans="2:9" ht="15" customHeight="1" thickBot="1" x14ac:dyDescent="0.35">
      <c r="B79" s="495"/>
      <c r="C79" s="496"/>
      <c r="D79" s="540"/>
      <c r="E79" s="541"/>
      <c r="F79" s="542"/>
      <c r="G79" s="543"/>
      <c r="H79" s="544"/>
      <c r="I79" s="433"/>
    </row>
    <row r="80" spans="2:9" ht="14.25" customHeight="1" x14ac:dyDescent="0.3">
      <c r="B80" s="473" t="str">
        <f>B44</f>
        <v xml:space="preserve">Sorgho Fourrager </v>
      </c>
      <c r="C80" s="474"/>
      <c r="D80" s="551" t="s">
        <v>115</v>
      </c>
      <c r="E80" s="552"/>
      <c r="F80" s="553"/>
      <c r="G80" s="554" t="s">
        <v>117</v>
      </c>
      <c r="H80" s="555"/>
      <c r="I80" s="556">
        <f>(D81*G81)</f>
        <v>0</v>
      </c>
    </row>
    <row r="81" spans="2:19" ht="15" customHeight="1" thickBot="1" x14ac:dyDescent="0.35">
      <c r="B81" s="563"/>
      <c r="C81" s="564"/>
      <c r="D81" s="558"/>
      <c r="E81" s="559"/>
      <c r="F81" s="560"/>
      <c r="G81" s="561"/>
      <c r="H81" s="562"/>
      <c r="I81" s="557"/>
    </row>
    <row r="82" spans="2:19" ht="14.25" customHeight="1" x14ac:dyDescent="0.3">
      <c r="B82" s="493" t="str">
        <f>B46</f>
        <v>Sorgho Fourrager "année normale"</v>
      </c>
      <c r="C82" s="494"/>
      <c r="D82" s="438" t="s">
        <v>115</v>
      </c>
      <c r="E82" s="439"/>
      <c r="F82" s="440"/>
      <c r="G82" s="538" t="s">
        <v>117</v>
      </c>
      <c r="H82" s="539"/>
      <c r="I82" s="432">
        <f>(D83*G83)</f>
        <v>0</v>
      </c>
    </row>
    <row r="83" spans="2:19" ht="15" customHeight="1" thickBot="1" x14ac:dyDescent="0.35">
      <c r="B83" s="495"/>
      <c r="C83" s="496"/>
      <c r="D83" s="540"/>
      <c r="E83" s="541"/>
      <c r="F83" s="542"/>
      <c r="G83" s="543"/>
      <c r="H83" s="544"/>
      <c r="I83" s="433"/>
    </row>
    <row r="84" spans="2:19" ht="18.75" customHeight="1" x14ac:dyDescent="0.3">
      <c r="B84" s="246"/>
      <c r="C84" s="246"/>
      <c r="I84" s="246"/>
    </row>
    <row r="85" spans="2:19" ht="16.5" customHeight="1" thickBot="1" x14ac:dyDescent="0.35">
      <c r="B85" s="246"/>
      <c r="C85" s="246"/>
      <c r="I85" s="246"/>
    </row>
    <row r="86" spans="2:19" ht="43.5" customHeight="1" thickBot="1" x14ac:dyDescent="0.35">
      <c r="B86" s="258" t="s">
        <v>118</v>
      </c>
      <c r="C86" s="259"/>
      <c r="D86" s="259"/>
      <c r="E86" s="259"/>
      <c r="F86" s="259"/>
      <c r="G86" s="259"/>
      <c r="H86" s="259"/>
      <c r="I86" s="260" t="s">
        <v>94</v>
      </c>
    </row>
    <row r="87" spans="2:19" ht="24.75" customHeight="1" x14ac:dyDescent="0.3">
      <c r="B87" s="468" t="s">
        <v>95</v>
      </c>
      <c r="C87" s="488" t="s">
        <v>141</v>
      </c>
      <c r="D87" s="518" t="s">
        <v>96</v>
      </c>
      <c r="E87" s="519"/>
      <c r="F87" s="519"/>
      <c r="G87" s="241" t="s">
        <v>97</v>
      </c>
      <c r="H87" s="242" t="s">
        <v>98</v>
      </c>
      <c r="I87" s="479">
        <f>IF(AND(G88&gt;0,H88&gt;0),(H88*G88*0.85)/1000,0)</f>
        <v>0</v>
      </c>
    </row>
    <row r="88" spans="2:19" ht="15" customHeight="1" thickBot="1" x14ac:dyDescent="0.35">
      <c r="B88" s="469"/>
      <c r="C88" s="489"/>
      <c r="D88" s="481">
        <v>1.5</v>
      </c>
      <c r="E88" s="482"/>
      <c r="F88" s="482"/>
      <c r="G88" s="243">
        <f>IF(D88&gt;0,(130*(D88*D88))/0.85,"")</f>
        <v>344.11764705882354</v>
      </c>
      <c r="H88" s="128"/>
      <c r="I88" s="480"/>
    </row>
    <row r="89" spans="2:19" ht="24.75" customHeight="1" x14ac:dyDescent="0.3">
      <c r="B89" s="469"/>
      <c r="C89" s="486" t="s">
        <v>131</v>
      </c>
      <c r="D89" s="438" t="s">
        <v>96</v>
      </c>
      <c r="E89" s="485"/>
      <c r="F89" s="485"/>
      <c r="G89" s="261" t="s">
        <v>97</v>
      </c>
      <c r="H89" s="262" t="s">
        <v>98</v>
      </c>
      <c r="I89" s="500">
        <f>IF(AND(G90&gt;0,H90&gt;0),(H90*G90*0.85)/1000,0)</f>
        <v>0</v>
      </c>
    </row>
    <row r="90" spans="2:19" ht="15" customHeight="1" thickBot="1" x14ac:dyDescent="0.35">
      <c r="B90" s="469"/>
      <c r="C90" s="487"/>
      <c r="D90" s="470">
        <v>1.5</v>
      </c>
      <c r="E90" s="471"/>
      <c r="F90" s="471"/>
      <c r="G90" s="264">
        <f>IF(D90&gt;0,(130*(D90*D90))/0.85,"")</f>
        <v>344.11764705882354</v>
      </c>
      <c r="H90" s="131">
        <v>0</v>
      </c>
      <c r="I90" s="501"/>
    </row>
    <row r="91" spans="2:19" ht="24.75" customHeight="1" x14ac:dyDescent="0.3">
      <c r="B91" s="469"/>
      <c r="C91" s="511" t="s">
        <v>142</v>
      </c>
      <c r="D91" s="515" t="s">
        <v>100</v>
      </c>
      <c r="E91" s="516"/>
      <c r="F91" s="517"/>
      <c r="G91" s="129" t="s">
        <v>97</v>
      </c>
      <c r="H91" s="130" t="s">
        <v>98</v>
      </c>
      <c r="I91" s="512">
        <f>IF(AND(G92&gt;0,H92&gt;0),(H92*G92*0.85)/1000,0)</f>
        <v>0</v>
      </c>
      <c r="L91" s="388"/>
      <c r="M91" s="388"/>
      <c r="N91" s="389"/>
      <c r="O91" s="389"/>
      <c r="P91" s="389"/>
      <c r="Q91" s="390"/>
      <c r="R91" s="390"/>
      <c r="S91" s="390"/>
    </row>
    <row r="92" spans="2:19" ht="15" customHeight="1" thickBot="1" x14ac:dyDescent="0.35">
      <c r="B92" s="469"/>
      <c r="C92" s="489"/>
      <c r="D92" s="123">
        <v>0.8</v>
      </c>
      <c r="E92" s="124">
        <v>1</v>
      </c>
      <c r="F92" s="125">
        <v>2</v>
      </c>
      <c r="G92" s="244">
        <f>IF(AND(D92&gt;0,E92&gt;0,F92&gt;0),(165*(D92*E92*F92))/0.85,"")</f>
        <v>310.58823529411768</v>
      </c>
      <c r="H92" s="237">
        <v>0</v>
      </c>
      <c r="I92" s="480"/>
      <c r="L92" s="388"/>
      <c r="M92" s="388"/>
      <c r="N92" s="391"/>
      <c r="O92" s="391"/>
      <c r="P92" s="391"/>
      <c r="Q92" s="119"/>
      <c r="R92" s="119"/>
      <c r="S92" s="390"/>
    </row>
    <row r="93" spans="2:19" ht="24.75" customHeight="1" x14ac:dyDescent="0.3">
      <c r="B93" s="469"/>
      <c r="C93" s="486" t="s">
        <v>132</v>
      </c>
      <c r="D93" s="458" t="s">
        <v>100</v>
      </c>
      <c r="E93" s="459"/>
      <c r="F93" s="460"/>
      <c r="G93" s="261" t="s">
        <v>97</v>
      </c>
      <c r="H93" s="262" t="s">
        <v>98</v>
      </c>
      <c r="I93" s="500">
        <f>IF(AND(G94&gt;0,H94&gt;0),(H94*G94*0.85)/1000,0)</f>
        <v>0</v>
      </c>
      <c r="L93" s="526"/>
      <c r="M93" s="526"/>
      <c r="N93" s="525"/>
      <c r="O93" s="525"/>
      <c r="P93" s="525"/>
      <c r="Q93" s="390"/>
      <c r="R93" s="390"/>
      <c r="S93" s="390"/>
    </row>
    <row r="94" spans="2:19" ht="15" customHeight="1" thickBot="1" x14ac:dyDescent="0.35">
      <c r="B94" s="510"/>
      <c r="C94" s="492"/>
      <c r="D94" s="132">
        <v>0.8</v>
      </c>
      <c r="E94" s="133">
        <v>1</v>
      </c>
      <c r="F94" s="134">
        <v>2</v>
      </c>
      <c r="G94" s="357">
        <f>IF(AND(D94&gt;0,E94&gt;0,F94&gt;0),(165*(D94*E94*F94))/0.85,"")</f>
        <v>310.58823529411768</v>
      </c>
      <c r="H94" s="135">
        <v>0</v>
      </c>
      <c r="I94" s="501"/>
      <c r="L94" s="526"/>
      <c r="M94" s="526"/>
      <c r="N94" s="525"/>
      <c r="O94" s="525"/>
      <c r="P94" s="525"/>
      <c r="Q94" s="119"/>
      <c r="R94" s="119"/>
      <c r="S94" s="390"/>
    </row>
    <row r="95" spans="2:19" ht="24.75" customHeight="1" x14ac:dyDescent="0.3">
      <c r="B95" s="468" t="s">
        <v>101</v>
      </c>
      <c r="C95" s="488" t="s">
        <v>141</v>
      </c>
      <c r="D95" s="490" t="s">
        <v>96</v>
      </c>
      <c r="E95" s="491"/>
      <c r="F95" s="491"/>
      <c r="G95" s="136" t="s">
        <v>97</v>
      </c>
      <c r="H95" s="137" t="s">
        <v>98</v>
      </c>
      <c r="I95" s="479">
        <f>IF(AND(G96&gt;0,H96&gt;0),(H96*G96*0.9)/1000,0)</f>
        <v>0</v>
      </c>
      <c r="L95" s="226"/>
      <c r="M95" s="226"/>
      <c r="N95" s="226"/>
      <c r="O95" s="226"/>
      <c r="P95" s="226"/>
    </row>
    <row r="96" spans="2:19" ht="15" customHeight="1" thickBot="1" x14ac:dyDescent="0.35">
      <c r="B96" s="469"/>
      <c r="C96" s="489"/>
      <c r="D96" s="481">
        <v>1.5</v>
      </c>
      <c r="E96" s="482"/>
      <c r="F96" s="482"/>
      <c r="G96" s="243">
        <f>IF(D96&gt;0,(120*(D96*D96))/0.9,"")</f>
        <v>300</v>
      </c>
      <c r="H96" s="128">
        <v>0</v>
      </c>
      <c r="I96" s="480"/>
      <c r="L96" s="219">
        <f>I87+I95+I99+I103+I107+I111+I115</f>
        <v>0</v>
      </c>
      <c r="M96" s="226">
        <v>2019</v>
      </c>
      <c r="N96" s="226"/>
      <c r="O96" s="226"/>
      <c r="P96" s="226"/>
    </row>
    <row r="97" spans="2:16" ht="24.75" customHeight="1" x14ac:dyDescent="0.3">
      <c r="B97" s="469"/>
      <c r="C97" s="472" t="s">
        <v>5</v>
      </c>
      <c r="D97" s="438" t="s">
        <v>96</v>
      </c>
      <c r="E97" s="485"/>
      <c r="F97" s="485"/>
      <c r="G97" s="261" t="s">
        <v>97</v>
      </c>
      <c r="H97" s="262" t="s">
        <v>98</v>
      </c>
      <c r="I97" s="500">
        <f>IF(AND(G98&gt;0,H98&gt;0),(H98*G98*0.9)/1000,0)</f>
        <v>0</v>
      </c>
      <c r="L97" s="219">
        <f>I89+I97+I101+I105+I109+I113+I117</f>
        <v>0</v>
      </c>
      <c r="M97" s="226" t="s">
        <v>226</v>
      </c>
      <c r="N97" s="226"/>
      <c r="O97" s="226"/>
      <c r="P97" s="226"/>
    </row>
    <row r="98" spans="2:16" ht="15" customHeight="1" thickBot="1" x14ac:dyDescent="0.35">
      <c r="B98" s="469"/>
      <c r="C98" s="487"/>
      <c r="D98" s="470">
        <v>1.5</v>
      </c>
      <c r="E98" s="471"/>
      <c r="F98" s="471"/>
      <c r="G98" s="358">
        <f>IF(D98&gt;0,(120*(D98*D98))/0.9,"")</f>
        <v>300</v>
      </c>
      <c r="H98" s="131">
        <v>0</v>
      </c>
      <c r="I98" s="501"/>
      <c r="L98" s="226"/>
      <c r="M98" s="226"/>
      <c r="N98" s="226"/>
      <c r="O98" s="226"/>
      <c r="P98" s="226"/>
    </row>
    <row r="99" spans="2:16" ht="24.75" customHeight="1" x14ac:dyDescent="0.3">
      <c r="B99" s="469"/>
      <c r="C99" s="511" t="s">
        <v>142</v>
      </c>
      <c r="D99" s="507" t="s">
        <v>100</v>
      </c>
      <c r="E99" s="508"/>
      <c r="F99" s="509"/>
      <c r="G99" s="239" t="s">
        <v>97</v>
      </c>
      <c r="H99" s="240" t="s">
        <v>98</v>
      </c>
      <c r="I99" s="512">
        <f>IF(AND(G100&gt;0,H100&gt;0),(H100*G100*0.9)/1000,0)</f>
        <v>0</v>
      </c>
      <c r="L99" s="219">
        <f>I91</f>
        <v>0</v>
      </c>
      <c r="M99" s="226">
        <v>2019</v>
      </c>
      <c r="N99" s="226"/>
      <c r="O99" s="226"/>
      <c r="P99" s="226"/>
    </row>
    <row r="100" spans="2:16" ht="15" customHeight="1" thickBot="1" x14ac:dyDescent="0.35">
      <c r="B100" s="469"/>
      <c r="C100" s="489"/>
      <c r="D100" s="123">
        <v>0</v>
      </c>
      <c r="E100" s="124">
        <v>0</v>
      </c>
      <c r="F100" s="125">
        <v>0</v>
      </c>
      <c r="G100" s="359" t="str">
        <f>IF(AND(D100&gt;0,E100&gt;0,F100&gt;0),(150*(D100*E100*F100))/0.9,"")</f>
        <v/>
      </c>
      <c r="H100" s="237">
        <v>0</v>
      </c>
      <c r="I100" s="480"/>
      <c r="L100" s="219">
        <f>I93</f>
        <v>0</v>
      </c>
      <c r="M100" s="226" t="s">
        <v>226</v>
      </c>
      <c r="N100" s="226"/>
      <c r="O100" s="226"/>
      <c r="P100" s="226"/>
    </row>
    <row r="101" spans="2:16" ht="24.75" customHeight="1" x14ac:dyDescent="0.3">
      <c r="B101" s="469"/>
      <c r="C101" s="472" t="s">
        <v>99</v>
      </c>
      <c r="D101" s="458" t="s">
        <v>100</v>
      </c>
      <c r="E101" s="459"/>
      <c r="F101" s="460"/>
      <c r="G101" s="261" t="s">
        <v>97</v>
      </c>
      <c r="H101" s="262" t="s">
        <v>98</v>
      </c>
      <c r="I101" s="500">
        <f>IF(AND(G102&gt;0,H102&gt;0),(H102*G102*0.9)/1000,0)</f>
        <v>0</v>
      </c>
      <c r="L101" s="226"/>
      <c r="M101" s="226"/>
      <c r="N101" s="226"/>
      <c r="O101" s="226"/>
      <c r="P101" s="226"/>
    </row>
    <row r="102" spans="2:16" ht="15" customHeight="1" thickBot="1" x14ac:dyDescent="0.35">
      <c r="B102" s="469"/>
      <c r="C102" s="472"/>
      <c r="D102" s="144">
        <v>0</v>
      </c>
      <c r="E102" s="149">
        <v>0</v>
      </c>
      <c r="F102" s="150">
        <v>0</v>
      </c>
      <c r="G102" s="263" t="str">
        <f>IF(AND(D102&gt;0,E102&gt;0,F102&gt;0),(150*(D102*E102*F102))/0.9,"")</f>
        <v/>
      </c>
      <c r="H102" s="238">
        <v>0</v>
      </c>
      <c r="I102" s="500"/>
    </row>
    <row r="103" spans="2:16" ht="24.75" customHeight="1" x14ac:dyDescent="0.3">
      <c r="B103" s="473" t="s">
        <v>155</v>
      </c>
      <c r="C103" s="474"/>
      <c r="D103" s="518" t="s">
        <v>103</v>
      </c>
      <c r="E103" s="519"/>
      <c r="F103" s="519"/>
      <c r="G103" s="241" t="s">
        <v>97</v>
      </c>
      <c r="H103" s="242" t="s">
        <v>98</v>
      </c>
      <c r="I103" s="479">
        <f>((G104*(D104/100))*H104)/1000</f>
        <v>0</v>
      </c>
    </row>
    <row r="104" spans="2:16" ht="15" customHeight="1" thickBot="1" x14ac:dyDescent="0.35">
      <c r="B104" s="475"/>
      <c r="C104" s="476"/>
      <c r="D104" s="481"/>
      <c r="E104" s="482"/>
      <c r="F104" s="482"/>
      <c r="G104" s="355"/>
      <c r="H104" s="128"/>
      <c r="I104" s="480"/>
    </row>
    <row r="105" spans="2:16" ht="24.75" customHeight="1" x14ac:dyDescent="0.3">
      <c r="B105" s="493" t="s">
        <v>134</v>
      </c>
      <c r="C105" s="494"/>
      <c r="D105" s="438" t="s">
        <v>103</v>
      </c>
      <c r="E105" s="439"/>
      <c r="F105" s="440"/>
      <c r="G105" s="261" t="s">
        <v>97</v>
      </c>
      <c r="H105" s="262" t="s">
        <v>98</v>
      </c>
      <c r="I105" s="432">
        <f>((G106*(D106/100))*H106)/1000</f>
        <v>0</v>
      </c>
    </row>
    <row r="106" spans="2:16" ht="15" customHeight="1" thickBot="1" x14ac:dyDescent="0.35">
      <c r="B106" s="495"/>
      <c r="C106" s="496"/>
      <c r="D106" s="443"/>
      <c r="E106" s="444"/>
      <c r="F106" s="445"/>
      <c r="G106" s="353"/>
      <c r="H106" s="347"/>
      <c r="I106" s="433"/>
    </row>
    <row r="107" spans="2:16" ht="14.25" customHeight="1" x14ac:dyDescent="0.3">
      <c r="B107" s="446" t="s">
        <v>256</v>
      </c>
      <c r="C107" s="502"/>
      <c r="D107" s="497" t="s">
        <v>105</v>
      </c>
      <c r="E107" s="498"/>
      <c r="F107" s="499"/>
      <c r="G107" s="450" t="s">
        <v>103</v>
      </c>
      <c r="H107" s="452"/>
      <c r="I107" s="477">
        <f>IF(AND(D108&gt;0,E108&gt;0,F108&gt;0,G108&gt;0),(((2*G108)+(30*D108)+60)*((D108*E108*F108)*0.95)/1000),0)</f>
        <v>0</v>
      </c>
    </row>
    <row r="108" spans="2:16" ht="15" customHeight="1" thickBot="1" x14ac:dyDescent="0.35">
      <c r="B108" s="448"/>
      <c r="C108" s="503"/>
      <c r="D108" s="139">
        <v>0</v>
      </c>
      <c r="E108" s="140">
        <v>0</v>
      </c>
      <c r="F108" s="141">
        <v>0</v>
      </c>
      <c r="G108" s="456">
        <v>30</v>
      </c>
      <c r="H108" s="457"/>
      <c r="I108" s="478"/>
    </row>
    <row r="109" spans="2:16" ht="14.25" customHeight="1" x14ac:dyDescent="0.3">
      <c r="B109" s="434" t="s">
        <v>257</v>
      </c>
      <c r="C109" s="463"/>
      <c r="D109" s="465" t="s">
        <v>105</v>
      </c>
      <c r="E109" s="466"/>
      <c r="F109" s="467"/>
      <c r="G109" s="438" t="s">
        <v>103</v>
      </c>
      <c r="H109" s="440"/>
      <c r="I109" s="432">
        <f>IF(AND(D110&gt;0,E110&gt;0,F110&gt;0,G110&gt;0),(((2*G110)+(30*D110)+60)*((D110*E110*F110)*0.95)/1000),0)</f>
        <v>0</v>
      </c>
    </row>
    <row r="110" spans="2:16" ht="15" customHeight="1" thickBot="1" x14ac:dyDescent="0.35">
      <c r="B110" s="436"/>
      <c r="C110" s="464"/>
      <c r="D110" s="144">
        <v>0</v>
      </c>
      <c r="E110" s="145">
        <v>0</v>
      </c>
      <c r="F110" s="146">
        <v>0</v>
      </c>
      <c r="G110" s="444">
        <v>30</v>
      </c>
      <c r="H110" s="445"/>
      <c r="I110" s="433"/>
    </row>
    <row r="111" spans="2:16" ht="14.25" customHeight="1" x14ac:dyDescent="0.3">
      <c r="B111" s="446" t="s">
        <v>258</v>
      </c>
      <c r="C111" s="502"/>
      <c r="D111" s="504" t="s">
        <v>100</v>
      </c>
      <c r="E111" s="505"/>
      <c r="F111" s="506"/>
      <c r="G111" s="450" t="s">
        <v>103</v>
      </c>
      <c r="H111" s="452"/>
      <c r="I111" s="477">
        <f>IF(AND(D112&gt;0,E112&gt;0,F112&gt;0,G112&gt;0),(((5*G112)+(15*D112)+35)*((D112*E112*F112)*0.95)/1000),0)</f>
        <v>0</v>
      </c>
    </row>
    <row r="112" spans="2:16" ht="15" customHeight="1" thickBot="1" x14ac:dyDescent="0.35">
      <c r="B112" s="448"/>
      <c r="C112" s="503"/>
      <c r="D112" s="139">
        <v>0</v>
      </c>
      <c r="E112" s="140">
        <v>0</v>
      </c>
      <c r="F112" s="141">
        <v>0</v>
      </c>
      <c r="G112" s="456">
        <v>32</v>
      </c>
      <c r="H112" s="457"/>
      <c r="I112" s="478"/>
    </row>
    <row r="113" spans="2:11" ht="14.25" customHeight="1" x14ac:dyDescent="0.3">
      <c r="B113" s="434" t="s">
        <v>259</v>
      </c>
      <c r="C113" s="463"/>
      <c r="D113" s="465" t="s">
        <v>100</v>
      </c>
      <c r="E113" s="466"/>
      <c r="F113" s="467"/>
      <c r="G113" s="438" t="s">
        <v>103</v>
      </c>
      <c r="H113" s="440"/>
      <c r="I113" s="432">
        <f>IF(AND(D114&gt;0,E114&gt;0,F114&gt;0,G114&gt;0),(((5*G114)+(15*D114)+35)*((D114*E114*F114)*0.95)/1000),0)</f>
        <v>0</v>
      </c>
    </row>
    <row r="114" spans="2:11" ht="15" customHeight="1" thickBot="1" x14ac:dyDescent="0.35">
      <c r="B114" s="436"/>
      <c r="C114" s="464"/>
      <c r="D114" s="144">
        <v>0</v>
      </c>
      <c r="E114" s="145">
        <v>0</v>
      </c>
      <c r="F114" s="146">
        <v>0</v>
      </c>
      <c r="G114" s="444">
        <v>32</v>
      </c>
      <c r="H114" s="445"/>
      <c r="I114" s="433"/>
    </row>
    <row r="115" spans="2:11" ht="14.25" customHeight="1" x14ac:dyDescent="0.3">
      <c r="B115" s="446" t="s">
        <v>260</v>
      </c>
      <c r="C115" s="447"/>
      <c r="D115" s="507" t="s">
        <v>100</v>
      </c>
      <c r="E115" s="508"/>
      <c r="F115" s="509"/>
      <c r="G115" s="450" t="s">
        <v>103</v>
      </c>
      <c r="H115" s="452"/>
      <c r="I115" s="477">
        <f>IF(AND(D116&gt;0,E116&gt;0,F116&gt;0,G116&gt;0),((((5*G116)+(15*D116)+35)*1.2)*((D116*E116*F116)*0.95)/1000),0)</f>
        <v>0</v>
      </c>
    </row>
    <row r="116" spans="2:11" ht="15" customHeight="1" thickBot="1" x14ac:dyDescent="0.35">
      <c r="B116" s="448"/>
      <c r="C116" s="449"/>
      <c r="D116" s="139">
        <v>0</v>
      </c>
      <c r="E116" s="140">
        <v>0</v>
      </c>
      <c r="F116" s="141">
        <v>0</v>
      </c>
      <c r="G116" s="483">
        <v>32</v>
      </c>
      <c r="H116" s="484"/>
      <c r="I116" s="478"/>
    </row>
    <row r="117" spans="2:11" ht="14.25" customHeight="1" x14ac:dyDescent="0.3">
      <c r="B117" s="434" t="s">
        <v>261</v>
      </c>
      <c r="C117" s="435"/>
      <c r="D117" s="458" t="s">
        <v>100</v>
      </c>
      <c r="E117" s="459"/>
      <c r="F117" s="460"/>
      <c r="G117" s="438" t="s">
        <v>103</v>
      </c>
      <c r="H117" s="440"/>
      <c r="I117" s="432">
        <f>IF(AND(D118&gt;0,E118&gt;0,F118&gt;0,G118&gt;0),((((5*G118)+(15*D118)+35)*1.2)*((D118*E118*F118)*0.95)/1000),0)</f>
        <v>0</v>
      </c>
    </row>
    <row r="118" spans="2:11" ht="15" customHeight="1" thickBot="1" x14ac:dyDescent="0.35">
      <c r="B118" s="436"/>
      <c r="C118" s="437"/>
      <c r="D118" s="144">
        <v>0</v>
      </c>
      <c r="E118" s="145">
        <v>0</v>
      </c>
      <c r="F118" s="146">
        <v>0</v>
      </c>
      <c r="G118" s="461">
        <v>32</v>
      </c>
      <c r="H118" s="462"/>
      <c r="I118" s="433"/>
    </row>
    <row r="119" spans="2:11" ht="25.5" x14ac:dyDescent="0.3">
      <c r="B119" s="446" t="s">
        <v>153</v>
      </c>
      <c r="C119" s="447"/>
      <c r="D119" s="450" t="s">
        <v>103</v>
      </c>
      <c r="E119" s="451"/>
      <c r="F119" s="452"/>
      <c r="G119" s="239" t="s">
        <v>97</v>
      </c>
      <c r="H119" s="240" t="s">
        <v>98</v>
      </c>
      <c r="I119" s="453">
        <f>((G120*(D120/100))*H120)/1000</f>
        <v>0</v>
      </c>
      <c r="J119" s="246"/>
      <c r="K119" s="246"/>
    </row>
    <row r="120" spans="2:11" ht="15" thickBot="1" x14ac:dyDescent="0.35">
      <c r="B120" s="448"/>
      <c r="C120" s="449"/>
      <c r="D120" s="455"/>
      <c r="E120" s="456"/>
      <c r="F120" s="457"/>
      <c r="G120" s="142"/>
      <c r="H120" s="143"/>
      <c r="I120" s="454"/>
      <c r="J120" s="246"/>
      <c r="K120" s="246"/>
    </row>
    <row r="121" spans="2:11" ht="25.5" x14ac:dyDescent="0.3">
      <c r="B121" s="434" t="s">
        <v>138</v>
      </c>
      <c r="C121" s="435"/>
      <c r="D121" s="438" t="s">
        <v>103</v>
      </c>
      <c r="E121" s="439"/>
      <c r="F121" s="440"/>
      <c r="G121" s="261" t="s">
        <v>97</v>
      </c>
      <c r="H121" s="262" t="s">
        <v>98</v>
      </c>
      <c r="I121" s="441">
        <f>((G122*(D122/100))*H122)/1000</f>
        <v>0</v>
      </c>
      <c r="J121" s="246"/>
      <c r="K121" s="246"/>
    </row>
    <row r="122" spans="2:11" ht="15" thickBot="1" x14ac:dyDescent="0.35">
      <c r="B122" s="436"/>
      <c r="C122" s="437"/>
      <c r="D122" s="443"/>
      <c r="E122" s="444"/>
      <c r="F122" s="445"/>
      <c r="G122" s="147"/>
      <c r="H122" s="148"/>
      <c r="I122" s="442"/>
      <c r="J122" s="246"/>
      <c r="K122" s="246"/>
    </row>
    <row r="123" spans="2:11" x14ac:dyDescent="0.3">
      <c r="B123" s="446" t="s">
        <v>152</v>
      </c>
      <c r="C123" s="447"/>
      <c r="D123" s="450" t="s">
        <v>262</v>
      </c>
      <c r="E123" s="451"/>
      <c r="F123" s="452"/>
      <c r="G123" s="451" t="s">
        <v>111</v>
      </c>
      <c r="H123" s="452"/>
      <c r="I123" s="453">
        <f>((D124*G124)*0.95)/1000</f>
        <v>0</v>
      </c>
      <c r="J123" s="246"/>
      <c r="K123" s="246"/>
    </row>
    <row r="124" spans="2:11" ht="15" thickBot="1" x14ac:dyDescent="0.35">
      <c r="B124" s="448"/>
      <c r="C124" s="449"/>
      <c r="D124" s="455"/>
      <c r="E124" s="456"/>
      <c r="F124" s="457"/>
      <c r="G124" s="456"/>
      <c r="H124" s="457"/>
      <c r="I124" s="454"/>
      <c r="J124" s="246"/>
      <c r="K124" s="246"/>
    </row>
    <row r="125" spans="2:11" x14ac:dyDescent="0.3">
      <c r="B125" s="434" t="s">
        <v>139</v>
      </c>
      <c r="C125" s="435"/>
      <c r="D125" s="438" t="s">
        <v>262</v>
      </c>
      <c r="E125" s="439"/>
      <c r="F125" s="440"/>
      <c r="G125" s="439" t="s">
        <v>111</v>
      </c>
      <c r="H125" s="440"/>
      <c r="I125" s="441">
        <f>((D126*G126)*0.95)/1000</f>
        <v>0</v>
      </c>
    </row>
    <row r="126" spans="2:11" ht="15" thickBot="1" x14ac:dyDescent="0.35">
      <c r="B126" s="436"/>
      <c r="C126" s="437"/>
      <c r="D126" s="443"/>
      <c r="E126" s="444"/>
      <c r="F126" s="445"/>
      <c r="G126" s="444"/>
      <c r="H126" s="445"/>
      <c r="I126" s="442"/>
    </row>
  </sheetData>
  <sheetProtection password="E909" sheet="1" objects="1" scenarios="1" selectLockedCells="1"/>
  <mergeCells count="297">
    <mergeCell ref="D24:F24"/>
    <mergeCell ref="D25:F25"/>
    <mergeCell ref="D26:F26"/>
    <mergeCell ref="D27:F27"/>
    <mergeCell ref="D103:F103"/>
    <mergeCell ref="D104:F104"/>
    <mergeCell ref="D105:F105"/>
    <mergeCell ref="D106:F106"/>
    <mergeCell ref="B125:C126"/>
    <mergeCell ref="D125:F125"/>
    <mergeCell ref="B26:C27"/>
    <mergeCell ref="B87:B94"/>
    <mergeCell ref="C87:C88"/>
    <mergeCell ref="C89:C90"/>
    <mergeCell ref="C91:C92"/>
    <mergeCell ref="C93:C94"/>
    <mergeCell ref="B95:B102"/>
    <mergeCell ref="C95:C96"/>
    <mergeCell ref="C97:C98"/>
    <mergeCell ref="C99:C100"/>
    <mergeCell ref="C101:C102"/>
    <mergeCell ref="B32:C33"/>
    <mergeCell ref="D32:F32"/>
    <mergeCell ref="B38:C39"/>
    <mergeCell ref="G125:H125"/>
    <mergeCell ref="I125:I126"/>
    <mergeCell ref="D126:F126"/>
    <mergeCell ref="G126:H126"/>
    <mergeCell ref="B119:C120"/>
    <mergeCell ref="D119:F119"/>
    <mergeCell ref="I119:I120"/>
    <mergeCell ref="D120:F120"/>
    <mergeCell ref="B121:C122"/>
    <mergeCell ref="D121:F121"/>
    <mergeCell ref="I121:I122"/>
    <mergeCell ref="D122:F122"/>
    <mergeCell ref="B123:C124"/>
    <mergeCell ref="D123:F123"/>
    <mergeCell ref="G123:H123"/>
    <mergeCell ref="I123:I124"/>
    <mergeCell ref="D124:F124"/>
    <mergeCell ref="G124:H124"/>
    <mergeCell ref="I26:I27"/>
    <mergeCell ref="B28:C29"/>
    <mergeCell ref="D28:F28"/>
    <mergeCell ref="G28:H28"/>
    <mergeCell ref="I28:I29"/>
    <mergeCell ref="G29:H29"/>
    <mergeCell ref="B30:C31"/>
    <mergeCell ref="D30:F30"/>
    <mergeCell ref="G30:H30"/>
    <mergeCell ref="I30:I31"/>
    <mergeCell ref="G31:H31"/>
    <mergeCell ref="C10:C11"/>
    <mergeCell ref="D10:F10"/>
    <mergeCell ref="I10:I11"/>
    <mergeCell ref="D11:F11"/>
    <mergeCell ref="C12:C13"/>
    <mergeCell ref="D12:F12"/>
    <mergeCell ref="I12:I13"/>
    <mergeCell ref="C14:C15"/>
    <mergeCell ref="D14:F14"/>
    <mergeCell ref="I14:I15"/>
    <mergeCell ref="D5:F5"/>
    <mergeCell ref="H5:I5"/>
    <mergeCell ref="D20:F20"/>
    <mergeCell ref="I20:I21"/>
    <mergeCell ref="C22:C23"/>
    <mergeCell ref="D22:F22"/>
    <mergeCell ref="I22:I23"/>
    <mergeCell ref="B24:C25"/>
    <mergeCell ref="I24:I25"/>
    <mergeCell ref="B16:B23"/>
    <mergeCell ref="C16:C17"/>
    <mergeCell ref="D16:F16"/>
    <mergeCell ref="I16:I17"/>
    <mergeCell ref="D17:F17"/>
    <mergeCell ref="C18:C19"/>
    <mergeCell ref="D18:F18"/>
    <mergeCell ref="I18:I19"/>
    <mergeCell ref="D19:F19"/>
    <mergeCell ref="C20:C21"/>
    <mergeCell ref="B8:B15"/>
    <mergeCell ref="C8:C9"/>
    <mergeCell ref="D8:F8"/>
    <mergeCell ref="I8:I9"/>
    <mergeCell ref="D9:F9"/>
    <mergeCell ref="G32:H32"/>
    <mergeCell ref="I32:I33"/>
    <mergeCell ref="G33:H33"/>
    <mergeCell ref="B34:C35"/>
    <mergeCell ref="D34:F34"/>
    <mergeCell ref="G34:H34"/>
    <mergeCell ref="I34:I35"/>
    <mergeCell ref="G35:H35"/>
    <mergeCell ref="B36:C37"/>
    <mergeCell ref="D36:F36"/>
    <mergeCell ref="G36:H36"/>
    <mergeCell ref="I36:I37"/>
    <mergeCell ref="G37:H37"/>
    <mergeCell ref="D38:F38"/>
    <mergeCell ref="G38:H38"/>
    <mergeCell ref="I38:I39"/>
    <mergeCell ref="G39:H39"/>
    <mergeCell ref="B40:C41"/>
    <mergeCell ref="D40:F40"/>
    <mergeCell ref="I40:I41"/>
    <mergeCell ref="D41:F41"/>
    <mergeCell ref="B42:C43"/>
    <mergeCell ref="D42:F42"/>
    <mergeCell ref="I42:I43"/>
    <mergeCell ref="D43:F43"/>
    <mergeCell ref="B44:C45"/>
    <mergeCell ref="D44:F44"/>
    <mergeCell ref="G44:H44"/>
    <mergeCell ref="I44:I45"/>
    <mergeCell ref="D45:F45"/>
    <mergeCell ref="G45:H45"/>
    <mergeCell ref="B52:C53"/>
    <mergeCell ref="D52:F52"/>
    <mergeCell ref="G52:H52"/>
    <mergeCell ref="I52:I53"/>
    <mergeCell ref="D53:F53"/>
    <mergeCell ref="G53:H53"/>
    <mergeCell ref="B46:C47"/>
    <mergeCell ref="D46:F46"/>
    <mergeCell ref="G46:H46"/>
    <mergeCell ref="I46:I47"/>
    <mergeCell ref="D47:F47"/>
    <mergeCell ref="G47:H47"/>
    <mergeCell ref="Q56:R56"/>
    <mergeCell ref="S56:S57"/>
    <mergeCell ref="D57:F57"/>
    <mergeCell ref="G57:H57"/>
    <mergeCell ref="N57:P57"/>
    <mergeCell ref="B60:C61"/>
    <mergeCell ref="D60:F60"/>
    <mergeCell ref="G60:H60"/>
    <mergeCell ref="I60:I61"/>
    <mergeCell ref="D61:F61"/>
    <mergeCell ref="B56:C57"/>
    <mergeCell ref="D56:F56"/>
    <mergeCell ref="G56:H56"/>
    <mergeCell ref="I56:I57"/>
    <mergeCell ref="L56:M57"/>
    <mergeCell ref="N56:P56"/>
    <mergeCell ref="Q58:R58"/>
    <mergeCell ref="S58:S59"/>
    <mergeCell ref="D59:F59"/>
    <mergeCell ref="G59:H59"/>
    <mergeCell ref="N59:P59"/>
    <mergeCell ref="L58:M59"/>
    <mergeCell ref="N58:P58"/>
    <mergeCell ref="B68:C69"/>
    <mergeCell ref="D68:F68"/>
    <mergeCell ref="G68:H68"/>
    <mergeCell ref="I68:I69"/>
    <mergeCell ref="D69:F69"/>
    <mergeCell ref="G69:H69"/>
    <mergeCell ref="G61:H61"/>
    <mergeCell ref="B64:C65"/>
    <mergeCell ref="D64:F64"/>
    <mergeCell ref="G64:H64"/>
    <mergeCell ref="I64:I65"/>
    <mergeCell ref="D65:F65"/>
    <mergeCell ref="G65:H65"/>
    <mergeCell ref="G63:H63"/>
    <mergeCell ref="B66:C67"/>
    <mergeCell ref="D66:F66"/>
    <mergeCell ref="G66:H66"/>
    <mergeCell ref="I66:I67"/>
    <mergeCell ref="D67:F67"/>
    <mergeCell ref="G67:H67"/>
    <mergeCell ref="B62:C63"/>
    <mergeCell ref="D62:F62"/>
    <mergeCell ref="G62:H62"/>
    <mergeCell ref="I62:I63"/>
    <mergeCell ref="B76:C77"/>
    <mergeCell ref="D76:F76"/>
    <mergeCell ref="G76:H76"/>
    <mergeCell ref="I76:I77"/>
    <mergeCell ref="D77:F77"/>
    <mergeCell ref="G77:H77"/>
    <mergeCell ref="G81:H81"/>
    <mergeCell ref="B78:C79"/>
    <mergeCell ref="D78:F78"/>
    <mergeCell ref="G78:H78"/>
    <mergeCell ref="I78:I79"/>
    <mergeCell ref="D79:F79"/>
    <mergeCell ref="G79:H79"/>
    <mergeCell ref="D87:F87"/>
    <mergeCell ref="B54:C55"/>
    <mergeCell ref="D54:F54"/>
    <mergeCell ref="G54:H54"/>
    <mergeCell ref="I54:I55"/>
    <mergeCell ref="D55:F55"/>
    <mergeCell ref="G55:H55"/>
    <mergeCell ref="B72:C73"/>
    <mergeCell ref="D72:F72"/>
    <mergeCell ref="G72:H72"/>
    <mergeCell ref="I72:I73"/>
    <mergeCell ref="D73:F73"/>
    <mergeCell ref="G73:H73"/>
    <mergeCell ref="B80:C81"/>
    <mergeCell ref="D80:F80"/>
    <mergeCell ref="G80:H80"/>
    <mergeCell ref="I80:I81"/>
    <mergeCell ref="D81:F81"/>
    <mergeCell ref="B82:C83"/>
    <mergeCell ref="D82:F82"/>
    <mergeCell ref="G82:H82"/>
    <mergeCell ref="I82:I83"/>
    <mergeCell ref="D83:F83"/>
    <mergeCell ref="G83:H83"/>
    <mergeCell ref="D97:F97"/>
    <mergeCell ref="D63:F63"/>
    <mergeCell ref="B58:C59"/>
    <mergeCell ref="D58:F58"/>
    <mergeCell ref="G58:H58"/>
    <mergeCell ref="I58:I59"/>
    <mergeCell ref="B74:C75"/>
    <mergeCell ref="D74:F74"/>
    <mergeCell ref="G74:H74"/>
    <mergeCell ref="I74:I75"/>
    <mergeCell ref="D75:F75"/>
    <mergeCell ref="G75:H75"/>
    <mergeCell ref="B70:C71"/>
    <mergeCell ref="D70:F70"/>
    <mergeCell ref="G70:H70"/>
    <mergeCell ref="I70:I71"/>
    <mergeCell ref="D71:F71"/>
    <mergeCell ref="G71:H71"/>
    <mergeCell ref="D90:F90"/>
    <mergeCell ref="D91:F91"/>
    <mergeCell ref="D89:F89"/>
    <mergeCell ref="I89:I90"/>
    <mergeCell ref="I87:I88"/>
    <mergeCell ref="D88:F88"/>
    <mergeCell ref="D93:F93"/>
    <mergeCell ref="I91:I92"/>
    <mergeCell ref="B103:C104"/>
    <mergeCell ref="I103:I104"/>
    <mergeCell ref="S93:S94"/>
    <mergeCell ref="N94:P94"/>
    <mergeCell ref="I95:I96"/>
    <mergeCell ref="I97:I98"/>
    <mergeCell ref="D95:F95"/>
    <mergeCell ref="L91:M92"/>
    <mergeCell ref="N91:P91"/>
    <mergeCell ref="Q91:R91"/>
    <mergeCell ref="S91:S92"/>
    <mergeCell ref="N92:P92"/>
    <mergeCell ref="I93:I94"/>
    <mergeCell ref="L93:M94"/>
    <mergeCell ref="N93:P93"/>
    <mergeCell ref="Q93:R93"/>
    <mergeCell ref="D101:F101"/>
    <mergeCell ref="I99:I100"/>
    <mergeCell ref="I101:I102"/>
    <mergeCell ref="D98:F98"/>
    <mergeCell ref="D99:F99"/>
    <mergeCell ref="D96:F96"/>
    <mergeCell ref="I107:I108"/>
    <mergeCell ref="G108:H108"/>
    <mergeCell ref="B105:C106"/>
    <mergeCell ref="I105:I106"/>
    <mergeCell ref="I111:I112"/>
    <mergeCell ref="G112:H112"/>
    <mergeCell ref="B109:C110"/>
    <mergeCell ref="D109:F109"/>
    <mergeCell ref="G109:H109"/>
    <mergeCell ref="I109:I110"/>
    <mergeCell ref="G110:H110"/>
    <mergeCell ref="M8:N8"/>
    <mergeCell ref="O8:P8"/>
    <mergeCell ref="Q8:R8"/>
    <mergeCell ref="B117:C118"/>
    <mergeCell ref="D117:F117"/>
    <mergeCell ref="G117:H117"/>
    <mergeCell ref="I117:I118"/>
    <mergeCell ref="G118:H118"/>
    <mergeCell ref="B115:C116"/>
    <mergeCell ref="D115:F115"/>
    <mergeCell ref="G115:H115"/>
    <mergeCell ref="I115:I116"/>
    <mergeCell ref="G116:H116"/>
    <mergeCell ref="B113:C114"/>
    <mergeCell ref="D113:F113"/>
    <mergeCell ref="G113:H113"/>
    <mergeCell ref="I113:I114"/>
    <mergeCell ref="G114:H114"/>
    <mergeCell ref="B111:C112"/>
    <mergeCell ref="D111:F111"/>
    <mergeCell ref="G111:H111"/>
    <mergeCell ref="B107:C108"/>
    <mergeCell ref="D107:F107"/>
    <mergeCell ref="G107:H10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A16" workbookViewId="0">
      <selection activeCell="H17" sqref="H17"/>
    </sheetView>
  </sheetViews>
  <sheetFormatPr baseColWidth="10" defaultColWidth="11.7109375" defaultRowHeight="14.25" x14ac:dyDescent="0.3"/>
  <cols>
    <col min="1" max="1" width="3.28515625" style="92" customWidth="1"/>
    <col min="2" max="2" width="20.5703125" style="92" customWidth="1"/>
    <col min="3" max="3" width="18.28515625" style="92" customWidth="1"/>
    <col min="4" max="5" width="7.7109375" style="92" customWidth="1"/>
    <col min="6" max="6" width="9" style="92" customWidth="1"/>
    <col min="7" max="7" width="14.7109375" style="92" customWidth="1"/>
    <col min="8" max="8" width="11.7109375" style="92" customWidth="1"/>
    <col min="9" max="9" width="15.140625" style="92" customWidth="1"/>
    <col min="10" max="10" width="3.42578125" style="92" customWidth="1"/>
    <col min="11" max="11" width="3.7109375" style="92" customWidth="1"/>
    <col min="12" max="12" width="6.28515625" style="92" customWidth="1"/>
    <col min="13" max="13" width="20.85546875" style="92" customWidth="1"/>
    <col min="14" max="14" width="13.28515625" style="92" customWidth="1"/>
    <col min="15" max="15" width="21.42578125" style="92" customWidth="1"/>
    <col min="16" max="16" width="12.5703125" style="92" customWidth="1"/>
    <col min="17" max="256" width="11.7109375" style="92"/>
    <col min="257" max="257" width="3.28515625" style="92" customWidth="1"/>
    <col min="258" max="258" width="20.5703125" style="92" customWidth="1"/>
    <col min="259" max="259" width="13.85546875" style="92" customWidth="1"/>
    <col min="260" max="261" width="7.7109375" style="92" customWidth="1"/>
    <col min="262" max="262" width="9" style="92" customWidth="1"/>
    <col min="263" max="263" width="14.7109375" style="92" customWidth="1"/>
    <col min="264" max="264" width="11.7109375" style="92" customWidth="1"/>
    <col min="265" max="265" width="15.140625" style="92" customWidth="1"/>
    <col min="266" max="266" width="3.42578125" style="92" customWidth="1"/>
    <col min="267" max="269" width="8.42578125" style="92" customWidth="1"/>
    <col min="270" max="271" width="13.28515625" style="92" customWidth="1"/>
    <col min="272" max="272" width="12.5703125" style="92" customWidth="1"/>
    <col min="273" max="512" width="11.7109375" style="92"/>
    <col min="513" max="513" width="3.28515625" style="92" customWidth="1"/>
    <col min="514" max="514" width="20.5703125" style="92" customWidth="1"/>
    <col min="515" max="515" width="13.85546875" style="92" customWidth="1"/>
    <col min="516" max="517" width="7.7109375" style="92" customWidth="1"/>
    <col min="518" max="518" width="9" style="92" customWidth="1"/>
    <col min="519" max="519" width="14.7109375" style="92" customWidth="1"/>
    <col min="520" max="520" width="11.7109375" style="92" customWidth="1"/>
    <col min="521" max="521" width="15.140625" style="92" customWidth="1"/>
    <col min="522" max="522" width="3.42578125" style="92" customWidth="1"/>
    <col min="523" max="525" width="8.42578125" style="92" customWidth="1"/>
    <col min="526" max="527" width="13.28515625" style="92" customWidth="1"/>
    <col min="528" max="528" width="12.5703125" style="92" customWidth="1"/>
    <col min="529" max="768" width="11.7109375" style="92"/>
    <col min="769" max="769" width="3.28515625" style="92" customWidth="1"/>
    <col min="770" max="770" width="20.5703125" style="92" customWidth="1"/>
    <col min="771" max="771" width="13.85546875" style="92" customWidth="1"/>
    <col min="772" max="773" width="7.7109375" style="92" customWidth="1"/>
    <col min="774" max="774" width="9" style="92" customWidth="1"/>
    <col min="775" max="775" width="14.7109375" style="92" customWidth="1"/>
    <col min="776" max="776" width="11.7109375" style="92" customWidth="1"/>
    <col min="777" max="777" width="15.140625" style="92" customWidth="1"/>
    <col min="778" max="778" width="3.42578125" style="92" customWidth="1"/>
    <col min="779" max="781" width="8.42578125" style="92" customWidth="1"/>
    <col min="782" max="783" width="13.28515625" style="92" customWidth="1"/>
    <col min="784" max="784" width="12.5703125" style="92" customWidth="1"/>
    <col min="785" max="1024" width="11.7109375" style="92"/>
    <col min="1025" max="1025" width="3.28515625" style="92" customWidth="1"/>
    <col min="1026" max="1026" width="20.5703125" style="92" customWidth="1"/>
    <col min="1027" max="1027" width="13.85546875" style="92" customWidth="1"/>
    <col min="1028" max="1029" width="7.7109375" style="92" customWidth="1"/>
    <col min="1030" max="1030" width="9" style="92" customWidth="1"/>
    <col min="1031" max="1031" width="14.7109375" style="92" customWidth="1"/>
    <col min="1032" max="1032" width="11.7109375" style="92" customWidth="1"/>
    <col min="1033" max="1033" width="15.140625" style="92" customWidth="1"/>
    <col min="1034" max="1034" width="3.42578125" style="92" customWidth="1"/>
    <col min="1035" max="1037" width="8.42578125" style="92" customWidth="1"/>
    <col min="1038" max="1039" width="13.28515625" style="92" customWidth="1"/>
    <col min="1040" max="1040" width="12.5703125" style="92" customWidth="1"/>
    <col min="1041" max="1280" width="11.7109375" style="92"/>
    <col min="1281" max="1281" width="3.28515625" style="92" customWidth="1"/>
    <col min="1282" max="1282" width="20.5703125" style="92" customWidth="1"/>
    <col min="1283" max="1283" width="13.85546875" style="92" customWidth="1"/>
    <col min="1284" max="1285" width="7.7109375" style="92" customWidth="1"/>
    <col min="1286" max="1286" width="9" style="92" customWidth="1"/>
    <col min="1287" max="1287" width="14.7109375" style="92" customWidth="1"/>
    <col min="1288" max="1288" width="11.7109375" style="92" customWidth="1"/>
    <col min="1289" max="1289" width="15.140625" style="92" customWidth="1"/>
    <col min="1290" max="1290" width="3.42578125" style="92" customWidth="1"/>
    <col min="1291" max="1293" width="8.42578125" style="92" customWidth="1"/>
    <col min="1294" max="1295" width="13.28515625" style="92" customWidth="1"/>
    <col min="1296" max="1296" width="12.5703125" style="92" customWidth="1"/>
    <col min="1297" max="1536" width="11.7109375" style="92"/>
    <col min="1537" max="1537" width="3.28515625" style="92" customWidth="1"/>
    <col min="1538" max="1538" width="20.5703125" style="92" customWidth="1"/>
    <col min="1539" max="1539" width="13.85546875" style="92" customWidth="1"/>
    <col min="1540" max="1541" width="7.7109375" style="92" customWidth="1"/>
    <col min="1542" max="1542" width="9" style="92" customWidth="1"/>
    <col min="1543" max="1543" width="14.7109375" style="92" customWidth="1"/>
    <col min="1544" max="1544" width="11.7109375" style="92" customWidth="1"/>
    <col min="1545" max="1545" width="15.140625" style="92" customWidth="1"/>
    <col min="1546" max="1546" width="3.42578125" style="92" customWidth="1"/>
    <col min="1547" max="1549" width="8.42578125" style="92" customWidth="1"/>
    <col min="1550" max="1551" width="13.28515625" style="92" customWidth="1"/>
    <col min="1552" max="1552" width="12.5703125" style="92" customWidth="1"/>
    <col min="1553" max="1792" width="11.7109375" style="92"/>
    <col min="1793" max="1793" width="3.28515625" style="92" customWidth="1"/>
    <col min="1794" max="1794" width="20.5703125" style="92" customWidth="1"/>
    <col min="1795" max="1795" width="13.85546875" style="92" customWidth="1"/>
    <col min="1796" max="1797" width="7.7109375" style="92" customWidth="1"/>
    <col min="1798" max="1798" width="9" style="92" customWidth="1"/>
    <col min="1799" max="1799" width="14.7109375" style="92" customWidth="1"/>
    <col min="1800" max="1800" width="11.7109375" style="92" customWidth="1"/>
    <col min="1801" max="1801" width="15.140625" style="92" customWidth="1"/>
    <col min="1802" max="1802" width="3.42578125" style="92" customWidth="1"/>
    <col min="1803" max="1805" width="8.42578125" style="92" customWidth="1"/>
    <col min="1806" max="1807" width="13.28515625" style="92" customWidth="1"/>
    <col min="1808" max="1808" width="12.5703125" style="92" customWidth="1"/>
    <col min="1809" max="2048" width="11.7109375" style="92"/>
    <col min="2049" max="2049" width="3.28515625" style="92" customWidth="1"/>
    <col min="2050" max="2050" width="20.5703125" style="92" customWidth="1"/>
    <col min="2051" max="2051" width="13.85546875" style="92" customWidth="1"/>
    <col min="2052" max="2053" width="7.7109375" style="92" customWidth="1"/>
    <col min="2054" max="2054" width="9" style="92" customWidth="1"/>
    <col min="2055" max="2055" width="14.7109375" style="92" customWidth="1"/>
    <col min="2056" max="2056" width="11.7109375" style="92" customWidth="1"/>
    <col min="2057" max="2057" width="15.140625" style="92" customWidth="1"/>
    <col min="2058" max="2058" width="3.42578125" style="92" customWidth="1"/>
    <col min="2059" max="2061" width="8.42578125" style="92" customWidth="1"/>
    <col min="2062" max="2063" width="13.28515625" style="92" customWidth="1"/>
    <col min="2064" max="2064" width="12.5703125" style="92" customWidth="1"/>
    <col min="2065" max="2304" width="11.7109375" style="92"/>
    <col min="2305" max="2305" width="3.28515625" style="92" customWidth="1"/>
    <col min="2306" max="2306" width="20.5703125" style="92" customWidth="1"/>
    <col min="2307" max="2307" width="13.85546875" style="92" customWidth="1"/>
    <col min="2308" max="2309" width="7.7109375" style="92" customWidth="1"/>
    <col min="2310" max="2310" width="9" style="92" customWidth="1"/>
    <col min="2311" max="2311" width="14.7109375" style="92" customWidth="1"/>
    <col min="2312" max="2312" width="11.7109375" style="92" customWidth="1"/>
    <col min="2313" max="2313" width="15.140625" style="92" customWidth="1"/>
    <col min="2314" max="2314" width="3.42578125" style="92" customWidth="1"/>
    <col min="2315" max="2317" width="8.42578125" style="92" customWidth="1"/>
    <col min="2318" max="2319" width="13.28515625" style="92" customWidth="1"/>
    <col min="2320" max="2320" width="12.5703125" style="92" customWidth="1"/>
    <col min="2321" max="2560" width="11.7109375" style="92"/>
    <col min="2561" max="2561" width="3.28515625" style="92" customWidth="1"/>
    <col min="2562" max="2562" width="20.5703125" style="92" customWidth="1"/>
    <col min="2563" max="2563" width="13.85546875" style="92" customWidth="1"/>
    <col min="2564" max="2565" width="7.7109375" style="92" customWidth="1"/>
    <col min="2566" max="2566" width="9" style="92" customWidth="1"/>
    <col min="2567" max="2567" width="14.7109375" style="92" customWidth="1"/>
    <col min="2568" max="2568" width="11.7109375" style="92" customWidth="1"/>
    <col min="2569" max="2569" width="15.140625" style="92" customWidth="1"/>
    <col min="2570" max="2570" width="3.42578125" style="92" customWidth="1"/>
    <col min="2571" max="2573" width="8.42578125" style="92" customWidth="1"/>
    <col min="2574" max="2575" width="13.28515625" style="92" customWidth="1"/>
    <col min="2576" max="2576" width="12.5703125" style="92" customWidth="1"/>
    <col min="2577" max="2816" width="11.7109375" style="92"/>
    <col min="2817" max="2817" width="3.28515625" style="92" customWidth="1"/>
    <col min="2818" max="2818" width="20.5703125" style="92" customWidth="1"/>
    <col min="2819" max="2819" width="13.85546875" style="92" customWidth="1"/>
    <col min="2820" max="2821" width="7.7109375" style="92" customWidth="1"/>
    <col min="2822" max="2822" width="9" style="92" customWidth="1"/>
    <col min="2823" max="2823" width="14.7109375" style="92" customWidth="1"/>
    <col min="2824" max="2824" width="11.7109375" style="92" customWidth="1"/>
    <col min="2825" max="2825" width="15.140625" style="92" customWidth="1"/>
    <col min="2826" max="2826" width="3.42578125" style="92" customWidth="1"/>
    <col min="2827" max="2829" width="8.42578125" style="92" customWidth="1"/>
    <col min="2830" max="2831" width="13.28515625" style="92" customWidth="1"/>
    <col min="2832" max="2832" width="12.5703125" style="92" customWidth="1"/>
    <col min="2833" max="3072" width="11.7109375" style="92"/>
    <col min="3073" max="3073" width="3.28515625" style="92" customWidth="1"/>
    <col min="3074" max="3074" width="20.5703125" style="92" customWidth="1"/>
    <col min="3075" max="3075" width="13.85546875" style="92" customWidth="1"/>
    <col min="3076" max="3077" width="7.7109375" style="92" customWidth="1"/>
    <col min="3078" max="3078" width="9" style="92" customWidth="1"/>
    <col min="3079" max="3079" width="14.7109375" style="92" customWidth="1"/>
    <col min="3080" max="3080" width="11.7109375" style="92" customWidth="1"/>
    <col min="3081" max="3081" width="15.140625" style="92" customWidth="1"/>
    <col min="3082" max="3082" width="3.42578125" style="92" customWidth="1"/>
    <col min="3083" max="3085" width="8.42578125" style="92" customWidth="1"/>
    <col min="3086" max="3087" width="13.28515625" style="92" customWidth="1"/>
    <col min="3088" max="3088" width="12.5703125" style="92" customWidth="1"/>
    <col min="3089" max="3328" width="11.7109375" style="92"/>
    <col min="3329" max="3329" width="3.28515625" style="92" customWidth="1"/>
    <col min="3330" max="3330" width="20.5703125" style="92" customWidth="1"/>
    <col min="3331" max="3331" width="13.85546875" style="92" customWidth="1"/>
    <col min="3332" max="3333" width="7.7109375" style="92" customWidth="1"/>
    <col min="3334" max="3334" width="9" style="92" customWidth="1"/>
    <col min="3335" max="3335" width="14.7109375" style="92" customWidth="1"/>
    <col min="3336" max="3336" width="11.7109375" style="92" customWidth="1"/>
    <col min="3337" max="3337" width="15.140625" style="92" customWidth="1"/>
    <col min="3338" max="3338" width="3.42578125" style="92" customWidth="1"/>
    <col min="3339" max="3341" width="8.42578125" style="92" customWidth="1"/>
    <col min="3342" max="3343" width="13.28515625" style="92" customWidth="1"/>
    <col min="3344" max="3344" width="12.5703125" style="92" customWidth="1"/>
    <col min="3345" max="3584" width="11.7109375" style="92"/>
    <col min="3585" max="3585" width="3.28515625" style="92" customWidth="1"/>
    <col min="3586" max="3586" width="20.5703125" style="92" customWidth="1"/>
    <col min="3587" max="3587" width="13.85546875" style="92" customWidth="1"/>
    <col min="3588" max="3589" width="7.7109375" style="92" customWidth="1"/>
    <col min="3590" max="3590" width="9" style="92" customWidth="1"/>
    <col min="3591" max="3591" width="14.7109375" style="92" customWidth="1"/>
    <col min="3592" max="3592" width="11.7109375" style="92" customWidth="1"/>
    <col min="3593" max="3593" width="15.140625" style="92" customWidth="1"/>
    <col min="3594" max="3594" width="3.42578125" style="92" customWidth="1"/>
    <col min="3595" max="3597" width="8.42578125" style="92" customWidth="1"/>
    <col min="3598" max="3599" width="13.28515625" style="92" customWidth="1"/>
    <col min="3600" max="3600" width="12.5703125" style="92" customWidth="1"/>
    <col min="3601" max="3840" width="11.7109375" style="92"/>
    <col min="3841" max="3841" width="3.28515625" style="92" customWidth="1"/>
    <col min="3842" max="3842" width="20.5703125" style="92" customWidth="1"/>
    <col min="3843" max="3843" width="13.85546875" style="92" customWidth="1"/>
    <col min="3844" max="3845" width="7.7109375" style="92" customWidth="1"/>
    <col min="3846" max="3846" width="9" style="92" customWidth="1"/>
    <col min="3847" max="3847" width="14.7109375" style="92" customWidth="1"/>
    <col min="3848" max="3848" width="11.7109375" style="92" customWidth="1"/>
    <col min="3849" max="3849" width="15.140625" style="92" customWidth="1"/>
    <col min="3850" max="3850" width="3.42578125" style="92" customWidth="1"/>
    <col min="3851" max="3853" width="8.42578125" style="92" customWidth="1"/>
    <col min="3854" max="3855" width="13.28515625" style="92" customWidth="1"/>
    <col min="3856" max="3856" width="12.5703125" style="92" customWidth="1"/>
    <col min="3857" max="4096" width="11.7109375" style="92"/>
    <col min="4097" max="4097" width="3.28515625" style="92" customWidth="1"/>
    <col min="4098" max="4098" width="20.5703125" style="92" customWidth="1"/>
    <col min="4099" max="4099" width="13.85546875" style="92" customWidth="1"/>
    <col min="4100" max="4101" width="7.7109375" style="92" customWidth="1"/>
    <col min="4102" max="4102" width="9" style="92" customWidth="1"/>
    <col min="4103" max="4103" width="14.7109375" style="92" customWidth="1"/>
    <col min="4104" max="4104" width="11.7109375" style="92" customWidth="1"/>
    <col min="4105" max="4105" width="15.140625" style="92" customWidth="1"/>
    <col min="4106" max="4106" width="3.42578125" style="92" customWidth="1"/>
    <col min="4107" max="4109" width="8.42578125" style="92" customWidth="1"/>
    <col min="4110" max="4111" width="13.28515625" style="92" customWidth="1"/>
    <col min="4112" max="4112" width="12.5703125" style="92" customWidth="1"/>
    <col min="4113" max="4352" width="11.7109375" style="92"/>
    <col min="4353" max="4353" width="3.28515625" style="92" customWidth="1"/>
    <col min="4354" max="4354" width="20.5703125" style="92" customWidth="1"/>
    <col min="4355" max="4355" width="13.85546875" style="92" customWidth="1"/>
    <col min="4356" max="4357" width="7.7109375" style="92" customWidth="1"/>
    <col min="4358" max="4358" width="9" style="92" customWidth="1"/>
    <col min="4359" max="4359" width="14.7109375" style="92" customWidth="1"/>
    <col min="4360" max="4360" width="11.7109375" style="92" customWidth="1"/>
    <col min="4361" max="4361" width="15.140625" style="92" customWidth="1"/>
    <col min="4362" max="4362" width="3.42578125" style="92" customWidth="1"/>
    <col min="4363" max="4365" width="8.42578125" style="92" customWidth="1"/>
    <col min="4366" max="4367" width="13.28515625" style="92" customWidth="1"/>
    <col min="4368" max="4368" width="12.5703125" style="92" customWidth="1"/>
    <col min="4369" max="4608" width="11.7109375" style="92"/>
    <col min="4609" max="4609" width="3.28515625" style="92" customWidth="1"/>
    <col min="4610" max="4610" width="20.5703125" style="92" customWidth="1"/>
    <col min="4611" max="4611" width="13.85546875" style="92" customWidth="1"/>
    <col min="4612" max="4613" width="7.7109375" style="92" customWidth="1"/>
    <col min="4614" max="4614" width="9" style="92" customWidth="1"/>
    <col min="4615" max="4615" width="14.7109375" style="92" customWidth="1"/>
    <col min="4616" max="4616" width="11.7109375" style="92" customWidth="1"/>
    <col min="4617" max="4617" width="15.140625" style="92" customWidth="1"/>
    <col min="4618" max="4618" width="3.42578125" style="92" customWidth="1"/>
    <col min="4619" max="4621" width="8.42578125" style="92" customWidth="1"/>
    <col min="4622" max="4623" width="13.28515625" style="92" customWidth="1"/>
    <col min="4624" max="4624" width="12.5703125" style="92" customWidth="1"/>
    <col min="4625" max="4864" width="11.7109375" style="92"/>
    <col min="4865" max="4865" width="3.28515625" style="92" customWidth="1"/>
    <col min="4866" max="4866" width="20.5703125" style="92" customWidth="1"/>
    <col min="4867" max="4867" width="13.85546875" style="92" customWidth="1"/>
    <col min="4868" max="4869" width="7.7109375" style="92" customWidth="1"/>
    <col min="4870" max="4870" width="9" style="92" customWidth="1"/>
    <col min="4871" max="4871" width="14.7109375" style="92" customWidth="1"/>
    <col min="4872" max="4872" width="11.7109375" style="92" customWidth="1"/>
    <col min="4873" max="4873" width="15.140625" style="92" customWidth="1"/>
    <col min="4874" max="4874" width="3.42578125" style="92" customWidth="1"/>
    <col min="4875" max="4877" width="8.42578125" style="92" customWidth="1"/>
    <col min="4878" max="4879" width="13.28515625" style="92" customWidth="1"/>
    <col min="4880" max="4880" width="12.5703125" style="92" customWidth="1"/>
    <col min="4881" max="5120" width="11.7109375" style="92"/>
    <col min="5121" max="5121" width="3.28515625" style="92" customWidth="1"/>
    <col min="5122" max="5122" width="20.5703125" style="92" customWidth="1"/>
    <col min="5123" max="5123" width="13.85546875" style="92" customWidth="1"/>
    <col min="5124" max="5125" width="7.7109375" style="92" customWidth="1"/>
    <col min="5126" max="5126" width="9" style="92" customWidth="1"/>
    <col min="5127" max="5127" width="14.7109375" style="92" customWidth="1"/>
    <col min="5128" max="5128" width="11.7109375" style="92" customWidth="1"/>
    <col min="5129" max="5129" width="15.140625" style="92" customWidth="1"/>
    <col min="5130" max="5130" width="3.42578125" style="92" customWidth="1"/>
    <col min="5131" max="5133" width="8.42578125" style="92" customWidth="1"/>
    <col min="5134" max="5135" width="13.28515625" style="92" customWidth="1"/>
    <col min="5136" max="5136" width="12.5703125" style="92" customWidth="1"/>
    <col min="5137" max="5376" width="11.7109375" style="92"/>
    <col min="5377" max="5377" width="3.28515625" style="92" customWidth="1"/>
    <col min="5378" max="5378" width="20.5703125" style="92" customWidth="1"/>
    <col min="5379" max="5379" width="13.85546875" style="92" customWidth="1"/>
    <col min="5380" max="5381" width="7.7109375" style="92" customWidth="1"/>
    <col min="5382" max="5382" width="9" style="92" customWidth="1"/>
    <col min="5383" max="5383" width="14.7109375" style="92" customWidth="1"/>
    <col min="5384" max="5384" width="11.7109375" style="92" customWidth="1"/>
    <col min="5385" max="5385" width="15.140625" style="92" customWidth="1"/>
    <col min="5386" max="5386" width="3.42578125" style="92" customWidth="1"/>
    <col min="5387" max="5389" width="8.42578125" style="92" customWidth="1"/>
    <col min="5390" max="5391" width="13.28515625" style="92" customWidth="1"/>
    <col min="5392" max="5392" width="12.5703125" style="92" customWidth="1"/>
    <col min="5393" max="5632" width="11.7109375" style="92"/>
    <col min="5633" max="5633" width="3.28515625" style="92" customWidth="1"/>
    <col min="5634" max="5634" width="20.5703125" style="92" customWidth="1"/>
    <col min="5635" max="5635" width="13.85546875" style="92" customWidth="1"/>
    <col min="5636" max="5637" width="7.7109375" style="92" customWidth="1"/>
    <col min="5638" max="5638" width="9" style="92" customWidth="1"/>
    <col min="5639" max="5639" width="14.7109375" style="92" customWidth="1"/>
    <col min="5640" max="5640" width="11.7109375" style="92" customWidth="1"/>
    <col min="5641" max="5641" width="15.140625" style="92" customWidth="1"/>
    <col min="5642" max="5642" width="3.42578125" style="92" customWidth="1"/>
    <col min="5643" max="5645" width="8.42578125" style="92" customWidth="1"/>
    <col min="5646" max="5647" width="13.28515625" style="92" customWidth="1"/>
    <col min="5648" max="5648" width="12.5703125" style="92" customWidth="1"/>
    <col min="5649" max="5888" width="11.7109375" style="92"/>
    <col min="5889" max="5889" width="3.28515625" style="92" customWidth="1"/>
    <col min="5890" max="5890" width="20.5703125" style="92" customWidth="1"/>
    <col min="5891" max="5891" width="13.85546875" style="92" customWidth="1"/>
    <col min="5892" max="5893" width="7.7109375" style="92" customWidth="1"/>
    <col min="5894" max="5894" width="9" style="92" customWidth="1"/>
    <col min="5895" max="5895" width="14.7109375" style="92" customWidth="1"/>
    <col min="5896" max="5896" width="11.7109375" style="92" customWidth="1"/>
    <col min="5897" max="5897" width="15.140625" style="92" customWidth="1"/>
    <col min="5898" max="5898" width="3.42578125" style="92" customWidth="1"/>
    <col min="5899" max="5901" width="8.42578125" style="92" customWidth="1"/>
    <col min="5902" max="5903" width="13.28515625" style="92" customWidth="1"/>
    <col min="5904" max="5904" width="12.5703125" style="92" customWidth="1"/>
    <col min="5905" max="6144" width="11.7109375" style="92"/>
    <col min="6145" max="6145" width="3.28515625" style="92" customWidth="1"/>
    <col min="6146" max="6146" width="20.5703125" style="92" customWidth="1"/>
    <col min="6147" max="6147" width="13.85546875" style="92" customWidth="1"/>
    <col min="6148" max="6149" width="7.7109375" style="92" customWidth="1"/>
    <col min="6150" max="6150" width="9" style="92" customWidth="1"/>
    <col min="6151" max="6151" width="14.7109375" style="92" customWidth="1"/>
    <col min="6152" max="6152" width="11.7109375" style="92" customWidth="1"/>
    <col min="6153" max="6153" width="15.140625" style="92" customWidth="1"/>
    <col min="6154" max="6154" width="3.42578125" style="92" customWidth="1"/>
    <col min="6155" max="6157" width="8.42578125" style="92" customWidth="1"/>
    <col min="6158" max="6159" width="13.28515625" style="92" customWidth="1"/>
    <col min="6160" max="6160" width="12.5703125" style="92" customWidth="1"/>
    <col min="6161" max="6400" width="11.7109375" style="92"/>
    <col min="6401" max="6401" width="3.28515625" style="92" customWidth="1"/>
    <col min="6402" max="6402" width="20.5703125" style="92" customWidth="1"/>
    <col min="6403" max="6403" width="13.85546875" style="92" customWidth="1"/>
    <col min="6404" max="6405" width="7.7109375" style="92" customWidth="1"/>
    <col min="6406" max="6406" width="9" style="92" customWidth="1"/>
    <col min="6407" max="6407" width="14.7109375" style="92" customWidth="1"/>
    <col min="6408" max="6408" width="11.7109375" style="92" customWidth="1"/>
    <col min="6409" max="6409" width="15.140625" style="92" customWidth="1"/>
    <col min="6410" max="6410" width="3.42578125" style="92" customWidth="1"/>
    <col min="6411" max="6413" width="8.42578125" style="92" customWidth="1"/>
    <col min="6414" max="6415" width="13.28515625" style="92" customWidth="1"/>
    <col min="6416" max="6416" width="12.5703125" style="92" customWidth="1"/>
    <col min="6417" max="6656" width="11.7109375" style="92"/>
    <col min="6657" max="6657" width="3.28515625" style="92" customWidth="1"/>
    <col min="6658" max="6658" width="20.5703125" style="92" customWidth="1"/>
    <col min="6659" max="6659" width="13.85546875" style="92" customWidth="1"/>
    <col min="6660" max="6661" width="7.7109375" style="92" customWidth="1"/>
    <col min="6662" max="6662" width="9" style="92" customWidth="1"/>
    <col min="6663" max="6663" width="14.7109375" style="92" customWidth="1"/>
    <col min="6664" max="6664" width="11.7109375" style="92" customWidth="1"/>
    <col min="6665" max="6665" width="15.140625" style="92" customWidth="1"/>
    <col min="6666" max="6666" width="3.42578125" style="92" customWidth="1"/>
    <col min="6667" max="6669" width="8.42578125" style="92" customWidth="1"/>
    <col min="6670" max="6671" width="13.28515625" style="92" customWidth="1"/>
    <col min="6672" max="6672" width="12.5703125" style="92" customWidth="1"/>
    <col min="6673" max="6912" width="11.7109375" style="92"/>
    <col min="6913" max="6913" width="3.28515625" style="92" customWidth="1"/>
    <col min="6914" max="6914" width="20.5703125" style="92" customWidth="1"/>
    <col min="6915" max="6915" width="13.85546875" style="92" customWidth="1"/>
    <col min="6916" max="6917" width="7.7109375" style="92" customWidth="1"/>
    <col min="6918" max="6918" width="9" style="92" customWidth="1"/>
    <col min="6919" max="6919" width="14.7109375" style="92" customWidth="1"/>
    <col min="6920" max="6920" width="11.7109375" style="92" customWidth="1"/>
    <col min="6921" max="6921" width="15.140625" style="92" customWidth="1"/>
    <col min="6922" max="6922" width="3.42578125" style="92" customWidth="1"/>
    <col min="6923" max="6925" width="8.42578125" style="92" customWidth="1"/>
    <col min="6926" max="6927" width="13.28515625" style="92" customWidth="1"/>
    <col min="6928" max="6928" width="12.5703125" style="92" customWidth="1"/>
    <col min="6929" max="7168" width="11.7109375" style="92"/>
    <col min="7169" max="7169" width="3.28515625" style="92" customWidth="1"/>
    <col min="7170" max="7170" width="20.5703125" style="92" customWidth="1"/>
    <col min="7171" max="7171" width="13.85546875" style="92" customWidth="1"/>
    <col min="7172" max="7173" width="7.7109375" style="92" customWidth="1"/>
    <col min="7174" max="7174" width="9" style="92" customWidth="1"/>
    <col min="7175" max="7175" width="14.7109375" style="92" customWidth="1"/>
    <col min="7176" max="7176" width="11.7109375" style="92" customWidth="1"/>
    <col min="7177" max="7177" width="15.140625" style="92" customWidth="1"/>
    <col min="7178" max="7178" width="3.42578125" style="92" customWidth="1"/>
    <col min="7179" max="7181" width="8.42578125" style="92" customWidth="1"/>
    <col min="7182" max="7183" width="13.28515625" style="92" customWidth="1"/>
    <col min="7184" max="7184" width="12.5703125" style="92" customWidth="1"/>
    <col min="7185" max="7424" width="11.7109375" style="92"/>
    <col min="7425" max="7425" width="3.28515625" style="92" customWidth="1"/>
    <col min="7426" max="7426" width="20.5703125" style="92" customWidth="1"/>
    <col min="7427" max="7427" width="13.85546875" style="92" customWidth="1"/>
    <col min="7428" max="7429" width="7.7109375" style="92" customWidth="1"/>
    <col min="7430" max="7430" width="9" style="92" customWidth="1"/>
    <col min="7431" max="7431" width="14.7109375" style="92" customWidth="1"/>
    <col min="7432" max="7432" width="11.7109375" style="92" customWidth="1"/>
    <col min="7433" max="7433" width="15.140625" style="92" customWidth="1"/>
    <col min="7434" max="7434" width="3.42578125" style="92" customWidth="1"/>
    <col min="7435" max="7437" width="8.42578125" style="92" customWidth="1"/>
    <col min="7438" max="7439" width="13.28515625" style="92" customWidth="1"/>
    <col min="7440" max="7440" width="12.5703125" style="92" customWidth="1"/>
    <col min="7441" max="7680" width="11.7109375" style="92"/>
    <col min="7681" max="7681" width="3.28515625" style="92" customWidth="1"/>
    <col min="7682" max="7682" width="20.5703125" style="92" customWidth="1"/>
    <col min="7683" max="7683" width="13.85546875" style="92" customWidth="1"/>
    <col min="7684" max="7685" width="7.7109375" style="92" customWidth="1"/>
    <col min="7686" max="7686" width="9" style="92" customWidth="1"/>
    <col min="7687" max="7687" width="14.7109375" style="92" customWidth="1"/>
    <col min="7688" max="7688" width="11.7109375" style="92" customWidth="1"/>
    <col min="7689" max="7689" width="15.140625" style="92" customWidth="1"/>
    <col min="7690" max="7690" width="3.42578125" style="92" customWidth="1"/>
    <col min="7691" max="7693" width="8.42578125" style="92" customWidth="1"/>
    <col min="7694" max="7695" width="13.28515625" style="92" customWidth="1"/>
    <col min="7696" max="7696" width="12.5703125" style="92" customWidth="1"/>
    <col min="7697" max="7936" width="11.7109375" style="92"/>
    <col min="7937" max="7937" width="3.28515625" style="92" customWidth="1"/>
    <col min="7938" max="7938" width="20.5703125" style="92" customWidth="1"/>
    <col min="7939" max="7939" width="13.85546875" style="92" customWidth="1"/>
    <col min="7940" max="7941" width="7.7109375" style="92" customWidth="1"/>
    <col min="7942" max="7942" width="9" style="92" customWidth="1"/>
    <col min="7943" max="7943" width="14.7109375" style="92" customWidth="1"/>
    <col min="7944" max="7944" width="11.7109375" style="92" customWidth="1"/>
    <col min="7945" max="7945" width="15.140625" style="92" customWidth="1"/>
    <col min="7946" max="7946" width="3.42578125" style="92" customWidth="1"/>
    <col min="7947" max="7949" width="8.42578125" style="92" customWidth="1"/>
    <col min="7950" max="7951" width="13.28515625" style="92" customWidth="1"/>
    <col min="7952" max="7952" width="12.5703125" style="92" customWidth="1"/>
    <col min="7953" max="8192" width="11.7109375" style="92"/>
    <col min="8193" max="8193" width="3.28515625" style="92" customWidth="1"/>
    <col min="8194" max="8194" width="20.5703125" style="92" customWidth="1"/>
    <col min="8195" max="8195" width="13.85546875" style="92" customWidth="1"/>
    <col min="8196" max="8197" width="7.7109375" style="92" customWidth="1"/>
    <col min="8198" max="8198" width="9" style="92" customWidth="1"/>
    <col min="8199" max="8199" width="14.7109375" style="92" customWidth="1"/>
    <col min="8200" max="8200" width="11.7109375" style="92" customWidth="1"/>
    <col min="8201" max="8201" width="15.140625" style="92" customWidth="1"/>
    <col min="8202" max="8202" width="3.42578125" style="92" customWidth="1"/>
    <col min="8203" max="8205" width="8.42578125" style="92" customWidth="1"/>
    <col min="8206" max="8207" width="13.28515625" style="92" customWidth="1"/>
    <col min="8208" max="8208" width="12.5703125" style="92" customWidth="1"/>
    <col min="8209" max="8448" width="11.7109375" style="92"/>
    <col min="8449" max="8449" width="3.28515625" style="92" customWidth="1"/>
    <col min="8450" max="8450" width="20.5703125" style="92" customWidth="1"/>
    <col min="8451" max="8451" width="13.85546875" style="92" customWidth="1"/>
    <col min="8452" max="8453" width="7.7109375" style="92" customWidth="1"/>
    <col min="8454" max="8454" width="9" style="92" customWidth="1"/>
    <col min="8455" max="8455" width="14.7109375" style="92" customWidth="1"/>
    <col min="8456" max="8456" width="11.7109375" style="92" customWidth="1"/>
    <col min="8457" max="8457" width="15.140625" style="92" customWidth="1"/>
    <col min="8458" max="8458" width="3.42578125" style="92" customWidth="1"/>
    <col min="8459" max="8461" width="8.42578125" style="92" customWidth="1"/>
    <col min="8462" max="8463" width="13.28515625" style="92" customWidth="1"/>
    <col min="8464" max="8464" width="12.5703125" style="92" customWidth="1"/>
    <col min="8465" max="8704" width="11.7109375" style="92"/>
    <col min="8705" max="8705" width="3.28515625" style="92" customWidth="1"/>
    <col min="8706" max="8706" width="20.5703125" style="92" customWidth="1"/>
    <col min="8707" max="8707" width="13.85546875" style="92" customWidth="1"/>
    <col min="8708" max="8709" width="7.7109375" style="92" customWidth="1"/>
    <col min="8710" max="8710" width="9" style="92" customWidth="1"/>
    <col min="8711" max="8711" width="14.7109375" style="92" customWidth="1"/>
    <col min="8712" max="8712" width="11.7109375" style="92" customWidth="1"/>
    <col min="8713" max="8713" width="15.140625" style="92" customWidth="1"/>
    <col min="8714" max="8714" width="3.42578125" style="92" customWidth="1"/>
    <col min="8715" max="8717" width="8.42578125" style="92" customWidth="1"/>
    <col min="8718" max="8719" width="13.28515625" style="92" customWidth="1"/>
    <col min="8720" max="8720" width="12.5703125" style="92" customWidth="1"/>
    <col min="8721" max="8960" width="11.7109375" style="92"/>
    <col min="8961" max="8961" width="3.28515625" style="92" customWidth="1"/>
    <col min="8962" max="8962" width="20.5703125" style="92" customWidth="1"/>
    <col min="8963" max="8963" width="13.85546875" style="92" customWidth="1"/>
    <col min="8964" max="8965" width="7.7109375" style="92" customWidth="1"/>
    <col min="8966" max="8966" width="9" style="92" customWidth="1"/>
    <col min="8967" max="8967" width="14.7109375" style="92" customWidth="1"/>
    <col min="8968" max="8968" width="11.7109375" style="92" customWidth="1"/>
    <col min="8969" max="8969" width="15.140625" style="92" customWidth="1"/>
    <col min="8970" max="8970" width="3.42578125" style="92" customWidth="1"/>
    <col min="8971" max="8973" width="8.42578125" style="92" customWidth="1"/>
    <col min="8974" max="8975" width="13.28515625" style="92" customWidth="1"/>
    <col min="8976" max="8976" width="12.5703125" style="92" customWidth="1"/>
    <col min="8977" max="9216" width="11.7109375" style="92"/>
    <col min="9217" max="9217" width="3.28515625" style="92" customWidth="1"/>
    <col min="9218" max="9218" width="20.5703125" style="92" customWidth="1"/>
    <col min="9219" max="9219" width="13.85546875" style="92" customWidth="1"/>
    <col min="9220" max="9221" width="7.7109375" style="92" customWidth="1"/>
    <col min="9222" max="9222" width="9" style="92" customWidth="1"/>
    <col min="9223" max="9223" width="14.7109375" style="92" customWidth="1"/>
    <col min="9224" max="9224" width="11.7109375" style="92" customWidth="1"/>
    <col min="9225" max="9225" width="15.140625" style="92" customWidth="1"/>
    <col min="9226" max="9226" width="3.42578125" style="92" customWidth="1"/>
    <col min="9227" max="9229" width="8.42578125" style="92" customWidth="1"/>
    <col min="9230" max="9231" width="13.28515625" style="92" customWidth="1"/>
    <col min="9232" max="9232" width="12.5703125" style="92" customWidth="1"/>
    <col min="9233" max="9472" width="11.7109375" style="92"/>
    <col min="9473" max="9473" width="3.28515625" style="92" customWidth="1"/>
    <col min="9474" max="9474" width="20.5703125" style="92" customWidth="1"/>
    <col min="9475" max="9475" width="13.85546875" style="92" customWidth="1"/>
    <col min="9476" max="9477" width="7.7109375" style="92" customWidth="1"/>
    <col min="9478" max="9478" width="9" style="92" customWidth="1"/>
    <col min="9479" max="9479" width="14.7109375" style="92" customWidth="1"/>
    <col min="9480" max="9480" width="11.7109375" style="92" customWidth="1"/>
    <col min="9481" max="9481" width="15.140625" style="92" customWidth="1"/>
    <col min="9482" max="9482" width="3.42578125" style="92" customWidth="1"/>
    <col min="9483" max="9485" width="8.42578125" style="92" customWidth="1"/>
    <col min="9486" max="9487" width="13.28515625" style="92" customWidth="1"/>
    <col min="9488" max="9488" width="12.5703125" style="92" customWidth="1"/>
    <col min="9489" max="9728" width="11.7109375" style="92"/>
    <col min="9729" max="9729" width="3.28515625" style="92" customWidth="1"/>
    <col min="9730" max="9730" width="20.5703125" style="92" customWidth="1"/>
    <col min="9731" max="9731" width="13.85546875" style="92" customWidth="1"/>
    <col min="9732" max="9733" width="7.7109375" style="92" customWidth="1"/>
    <col min="9734" max="9734" width="9" style="92" customWidth="1"/>
    <col min="9735" max="9735" width="14.7109375" style="92" customWidth="1"/>
    <col min="9736" max="9736" width="11.7109375" style="92" customWidth="1"/>
    <col min="9737" max="9737" width="15.140625" style="92" customWidth="1"/>
    <col min="9738" max="9738" width="3.42578125" style="92" customWidth="1"/>
    <col min="9739" max="9741" width="8.42578125" style="92" customWidth="1"/>
    <col min="9742" max="9743" width="13.28515625" style="92" customWidth="1"/>
    <col min="9744" max="9744" width="12.5703125" style="92" customWidth="1"/>
    <col min="9745" max="9984" width="11.7109375" style="92"/>
    <col min="9985" max="9985" width="3.28515625" style="92" customWidth="1"/>
    <col min="9986" max="9986" width="20.5703125" style="92" customWidth="1"/>
    <col min="9987" max="9987" width="13.85546875" style="92" customWidth="1"/>
    <col min="9988" max="9989" width="7.7109375" style="92" customWidth="1"/>
    <col min="9990" max="9990" width="9" style="92" customWidth="1"/>
    <col min="9991" max="9991" width="14.7109375" style="92" customWidth="1"/>
    <col min="9992" max="9992" width="11.7109375" style="92" customWidth="1"/>
    <col min="9993" max="9993" width="15.140625" style="92" customWidth="1"/>
    <col min="9994" max="9994" width="3.42578125" style="92" customWidth="1"/>
    <col min="9995" max="9997" width="8.42578125" style="92" customWidth="1"/>
    <col min="9998" max="9999" width="13.28515625" style="92" customWidth="1"/>
    <col min="10000" max="10000" width="12.5703125" style="92" customWidth="1"/>
    <col min="10001" max="10240" width="11.7109375" style="92"/>
    <col min="10241" max="10241" width="3.28515625" style="92" customWidth="1"/>
    <col min="10242" max="10242" width="20.5703125" style="92" customWidth="1"/>
    <col min="10243" max="10243" width="13.85546875" style="92" customWidth="1"/>
    <col min="10244" max="10245" width="7.7109375" style="92" customWidth="1"/>
    <col min="10246" max="10246" width="9" style="92" customWidth="1"/>
    <col min="10247" max="10247" width="14.7109375" style="92" customWidth="1"/>
    <col min="10248" max="10248" width="11.7109375" style="92" customWidth="1"/>
    <col min="10249" max="10249" width="15.140625" style="92" customWidth="1"/>
    <col min="10250" max="10250" width="3.42578125" style="92" customWidth="1"/>
    <col min="10251" max="10253" width="8.42578125" style="92" customWidth="1"/>
    <col min="10254" max="10255" width="13.28515625" style="92" customWidth="1"/>
    <col min="10256" max="10256" width="12.5703125" style="92" customWidth="1"/>
    <col min="10257" max="10496" width="11.7109375" style="92"/>
    <col min="10497" max="10497" width="3.28515625" style="92" customWidth="1"/>
    <col min="10498" max="10498" width="20.5703125" style="92" customWidth="1"/>
    <col min="10499" max="10499" width="13.85546875" style="92" customWidth="1"/>
    <col min="10500" max="10501" width="7.7109375" style="92" customWidth="1"/>
    <col min="10502" max="10502" width="9" style="92" customWidth="1"/>
    <col min="10503" max="10503" width="14.7109375" style="92" customWidth="1"/>
    <col min="10504" max="10504" width="11.7109375" style="92" customWidth="1"/>
    <col min="10505" max="10505" width="15.140625" style="92" customWidth="1"/>
    <col min="10506" max="10506" width="3.42578125" style="92" customWidth="1"/>
    <col min="10507" max="10509" width="8.42578125" style="92" customWidth="1"/>
    <col min="10510" max="10511" width="13.28515625" style="92" customWidth="1"/>
    <col min="10512" max="10512" width="12.5703125" style="92" customWidth="1"/>
    <col min="10513" max="10752" width="11.7109375" style="92"/>
    <col min="10753" max="10753" width="3.28515625" style="92" customWidth="1"/>
    <col min="10754" max="10754" width="20.5703125" style="92" customWidth="1"/>
    <col min="10755" max="10755" width="13.85546875" style="92" customWidth="1"/>
    <col min="10756" max="10757" width="7.7109375" style="92" customWidth="1"/>
    <col min="10758" max="10758" width="9" style="92" customWidth="1"/>
    <col min="10759" max="10759" width="14.7109375" style="92" customWidth="1"/>
    <col min="10760" max="10760" width="11.7109375" style="92" customWidth="1"/>
    <col min="10761" max="10761" width="15.140625" style="92" customWidth="1"/>
    <col min="10762" max="10762" width="3.42578125" style="92" customWidth="1"/>
    <col min="10763" max="10765" width="8.42578125" style="92" customWidth="1"/>
    <col min="10766" max="10767" width="13.28515625" style="92" customWidth="1"/>
    <col min="10768" max="10768" width="12.5703125" style="92" customWidth="1"/>
    <col min="10769" max="11008" width="11.7109375" style="92"/>
    <col min="11009" max="11009" width="3.28515625" style="92" customWidth="1"/>
    <col min="11010" max="11010" width="20.5703125" style="92" customWidth="1"/>
    <col min="11011" max="11011" width="13.85546875" style="92" customWidth="1"/>
    <col min="11012" max="11013" width="7.7109375" style="92" customWidth="1"/>
    <col min="11014" max="11014" width="9" style="92" customWidth="1"/>
    <col min="11015" max="11015" width="14.7109375" style="92" customWidth="1"/>
    <col min="11016" max="11016" width="11.7109375" style="92" customWidth="1"/>
    <col min="11017" max="11017" width="15.140625" style="92" customWidth="1"/>
    <col min="11018" max="11018" width="3.42578125" style="92" customWidth="1"/>
    <col min="11019" max="11021" width="8.42578125" style="92" customWidth="1"/>
    <col min="11022" max="11023" width="13.28515625" style="92" customWidth="1"/>
    <col min="11024" max="11024" width="12.5703125" style="92" customWidth="1"/>
    <col min="11025" max="11264" width="11.7109375" style="92"/>
    <col min="11265" max="11265" width="3.28515625" style="92" customWidth="1"/>
    <col min="11266" max="11266" width="20.5703125" style="92" customWidth="1"/>
    <col min="11267" max="11267" width="13.85546875" style="92" customWidth="1"/>
    <col min="11268" max="11269" width="7.7109375" style="92" customWidth="1"/>
    <col min="11270" max="11270" width="9" style="92" customWidth="1"/>
    <col min="11271" max="11271" width="14.7109375" style="92" customWidth="1"/>
    <col min="11272" max="11272" width="11.7109375" style="92" customWidth="1"/>
    <col min="11273" max="11273" width="15.140625" style="92" customWidth="1"/>
    <col min="11274" max="11274" width="3.42578125" style="92" customWidth="1"/>
    <col min="11275" max="11277" width="8.42578125" style="92" customWidth="1"/>
    <col min="11278" max="11279" width="13.28515625" style="92" customWidth="1"/>
    <col min="11280" max="11280" width="12.5703125" style="92" customWidth="1"/>
    <col min="11281" max="11520" width="11.7109375" style="92"/>
    <col min="11521" max="11521" width="3.28515625" style="92" customWidth="1"/>
    <col min="11522" max="11522" width="20.5703125" style="92" customWidth="1"/>
    <col min="11523" max="11523" width="13.85546875" style="92" customWidth="1"/>
    <col min="11524" max="11525" width="7.7109375" style="92" customWidth="1"/>
    <col min="11526" max="11526" width="9" style="92" customWidth="1"/>
    <col min="11527" max="11527" width="14.7109375" style="92" customWidth="1"/>
    <col min="11528" max="11528" width="11.7109375" style="92" customWidth="1"/>
    <col min="11529" max="11529" width="15.140625" style="92" customWidth="1"/>
    <col min="11530" max="11530" width="3.42578125" style="92" customWidth="1"/>
    <col min="11531" max="11533" width="8.42578125" style="92" customWidth="1"/>
    <col min="11534" max="11535" width="13.28515625" style="92" customWidth="1"/>
    <col min="11536" max="11536" width="12.5703125" style="92" customWidth="1"/>
    <col min="11537" max="11776" width="11.7109375" style="92"/>
    <col min="11777" max="11777" width="3.28515625" style="92" customWidth="1"/>
    <col min="11778" max="11778" width="20.5703125" style="92" customWidth="1"/>
    <col min="11779" max="11779" width="13.85546875" style="92" customWidth="1"/>
    <col min="11780" max="11781" width="7.7109375" style="92" customWidth="1"/>
    <col min="11782" max="11782" width="9" style="92" customWidth="1"/>
    <col min="11783" max="11783" width="14.7109375" style="92" customWidth="1"/>
    <col min="11784" max="11784" width="11.7109375" style="92" customWidth="1"/>
    <col min="11785" max="11785" width="15.140625" style="92" customWidth="1"/>
    <col min="11786" max="11786" width="3.42578125" style="92" customWidth="1"/>
    <col min="11787" max="11789" width="8.42578125" style="92" customWidth="1"/>
    <col min="11790" max="11791" width="13.28515625" style="92" customWidth="1"/>
    <col min="11792" max="11792" width="12.5703125" style="92" customWidth="1"/>
    <col min="11793" max="12032" width="11.7109375" style="92"/>
    <col min="12033" max="12033" width="3.28515625" style="92" customWidth="1"/>
    <col min="12034" max="12034" width="20.5703125" style="92" customWidth="1"/>
    <col min="12035" max="12035" width="13.85546875" style="92" customWidth="1"/>
    <col min="12036" max="12037" width="7.7109375" style="92" customWidth="1"/>
    <col min="12038" max="12038" width="9" style="92" customWidth="1"/>
    <col min="12039" max="12039" width="14.7109375" style="92" customWidth="1"/>
    <col min="12040" max="12040" width="11.7109375" style="92" customWidth="1"/>
    <col min="12041" max="12041" width="15.140625" style="92" customWidth="1"/>
    <col min="12042" max="12042" width="3.42578125" style="92" customWidth="1"/>
    <col min="12043" max="12045" width="8.42578125" style="92" customWidth="1"/>
    <col min="12046" max="12047" width="13.28515625" style="92" customWidth="1"/>
    <col min="12048" max="12048" width="12.5703125" style="92" customWidth="1"/>
    <col min="12049" max="12288" width="11.7109375" style="92"/>
    <col min="12289" max="12289" width="3.28515625" style="92" customWidth="1"/>
    <col min="12290" max="12290" width="20.5703125" style="92" customWidth="1"/>
    <col min="12291" max="12291" width="13.85546875" style="92" customWidth="1"/>
    <col min="12292" max="12293" width="7.7109375" style="92" customWidth="1"/>
    <col min="12294" max="12294" width="9" style="92" customWidth="1"/>
    <col min="12295" max="12295" width="14.7109375" style="92" customWidth="1"/>
    <col min="12296" max="12296" width="11.7109375" style="92" customWidth="1"/>
    <col min="12297" max="12297" width="15.140625" style="92" customWidth="1"/>
    <col min="12298" max="12298" width="3.42578125" style="92" customWidth="1"/>
    <col min="12299" max="12301" width="8.42578125" style="92" customWidth="1"/>
    <col min="12302" max="12303" width="13.28515625" style="92" customWidth="1"/>
    <col min="12304" max="12304" width="12.5703125" style="92" customWidth="1"/>
    <col min="12305" max="12544" width="11.7109375" style="92"/>
    <col min="12545" max="12545" width="3.28515625" style="92" customWidth="1"/>
    <col min="12546" max="12546" width="20.5703125" style="92" customWidth="1"/>
    <col min="12547" max="12547" width="13.85546875" style="92" customWidth="1"/>
    <col min="12548" max="12549" width="7.7109375" style="92" customWidth="1"/>
    <col min="12550" max="12550" width="9" style="92" customWidth="1"/>
    <col min="12551" max="12551" width="14.7109375" style="92" customWidth="1"/>
    <col min="12552" max="12552" width="11.7109375" style="92" customWidth="1"/>
    <col min="12553" max="12553" width="15.140625" style="92" customWidth="1"/>
    <col min="12554" max="12554" width="3.42578125" style="92" customWidth="1"/>
    <col min="12555" max="12557" width="8.42578125" style="92" customWidth="1"/>
    <col min="12558" max="12559" width="13.28515625" style="92" customWidth="1"/>
    <col min="12560" max="12560" width="12.5703125" style="92" customWidth="1"/>
    <col min="12561" max="12800" width="11.7109375" style="92"/>
    <col min="12801" max="12801" width="3.28515625" style="92" customWidth="1"/>
    <col min="12802" max="12802" width="20.5703125" style="92" customWidth="1"/>
    <col min="12803" max="12803" width="13.85546875" style="92" customWidth="1"/>
    <col min="12804" max="12805" width="7.7109375" style="92" customWidth="1"/>
    <col min="12806" max="12806" width="9" style="92" customWidth="1"/>
    <col min="12807" max="12807" width="14.7109375" style="92" customWidth="1"/>
    <col min="12808" max="12808" width="11.7109375" style="92" customWidth="1"/>
    <col min="12809" max="12809" width="15.140625" style="92" customWidth="1"/>
    <col min="12810" max="12810" width="3.42578125" style="92" customWidth="1"/>
    <col min="12811" max="12813" width="8.42578125" style="92" customWidth="1"/>
    <col min="12814" max="12815" width="13.28515625" style="92" customWidth="1"/>
    <col min="12816" max="12816" width="12.5703125" style="92" customWidth="1"/>
    <col min="12817" max="13056" width="11.7109375" style="92"/>
    <col min="13057" max="13057" width="3.28515625" style="92" customWidth="1"/>
    <col min="13058" max="13058" width="20.5703125" style="92" customWidth="1"/>
    <col min="13059" max="13059" width="13.85546875" style="92" customWidth="1"/>
    <col min="13060" max="13061" width="7.7109375" style="92" customWidth="1"/>
    <col min="13062" max="13062" width="9" style="92" customWidth="1"/>
    <col min="13063" max="13063" width="14.7109375" style="92" customWidth="1"/>
    <col min="13064" max="13064" width="11.7109375" style="92" customWidth="1"/>
    <col min="13065" max="13065" width="15.140625" style="92" customWidth="1"/>
    <col min="13066" max="13066" width="3.42578125" style="92" customWidth="1"/>
    <col min="13067" max="13069" width="8.42578125" style="92" customWidth="1"/>
    <col min="13070" max="13071" width="13.28515625" style="92" customWidth="1"/>
    <col min="13072" max="13072" width="12.5703125" style="92" customWidth="1"/>
    <col min="13073" max="13312" width="11.7109375" style="92"/>
    <col min="13313" max="13313" width="3.28515625" style="92" customWidth="1"/>
    <col min="13314" max="13314" width="20.5703125" style="92" customWidth="1"/>
    <col min="13315" max="13315" width="13.85546875" style="92" customWidth="1"/>
    <col min="13316" max="13317" width="7.7109375" style="92" customWidth="1"/>
    <col min="13318" max="13318" width="9" style="92" customWidth="1"/>
    <col min="13319" max="13319" width="14.7109375" style="92" customWidth="1"/>
    <col min="13320" max="13320" width="11.7109375" style="92" customWidth="1"/>
    <col min="13321" max="13321" width="15.140625" style="92" customWidth="1"/>
    <col min="13322" max="13322" width="3.42578125" style="92" customWidth="1"/>
    <col min="13323" max="13325" width="8.42578125" style="92" customWidth="1"/>
    <col min="13326" max="13327" width="13.28515625" style="92" customWidth="1"/>
    <col min="13328" max="13328" width="12.5703125" style="92" customWidth="1"/>
    <col min="13329" max="13568" width="11.7109375" style="92"/>
    <col min="13569" max="13569" width="3.28515625" style="92" customWidth="1"/>
    <col min="13570" max="13570" width="20.5703125" style="92" customWidth="1"/>
    <col min="13571" max="13571" width="13.85546875" style="92" customWidth="1"/>
    <col min="13572" max="13573" width="7.7109375" style="92" customWidth="1"/>
    <col min="13574" max="13574" width="9" style="92" customWidth="1"/>
    <col min="13575" max="13575" width="14.7109375" style="92" customWidth="1"/>
    <col min="13576" max="13576" width="11.7109375" style="92" customWidth="1"/>
    <col min="13577" max="13577" width="15.140625" style="92" customWidth="1"/>
    <col min="13578" max="13578" width="3.42578125" style="92" customWidth="1"/>
    <col min="13579" max="13581" width="8.42578125" style="92" customWidth="1"/>
    <col min="13582" max="13583" width="13.28515625" style="92" customWidth="1"/>
    <col min="13584" max="13584" width="12.5703125" style="92" customWidth="1"/>
    <col min="13585" max="13824" width="11.7109375" style="92"/>
    <col min="13825" max="13825" width="3.28515625" style="92" customWidth="1"/>
    <col min="13826" max="13826" width="20.5703125" style="92" customWidth="1"/>
    <col min="13827" max="13827" width="13.85546875" style="92" customWidth="1"/>
    <col min="13828" max="13829" width="7.7109375" style="92" customWidth="1"/>
    <col min="13830" max="13830" width="9" style="92" customWidth="1"/>
    <col min="13831" max="13831" width="14.7109375" style="92" customWidth="1"/>
    <col min="13832" max="13832" width="11.7109375" style="92" customWidth="1"/>
    <col min="13833" max="13833" width="15.140625" style="92" customWidth="1"/>
    <col min="13834" max="13834" width="3.42578125" style="92" customWidth="1"/>
    <col min="13835" max="13837" width="8.42578125" style="92" customWidth="1"/>
    <col min="13838" max="13839" width="13.28515625" style="92" customWidth="1"/>
    <col min="13840" max="13840" width="12.5703125" style="92" customWidth="1"/>
    <col min="13841" max="14080" width="11.7109375" style="92"/>
    <col min="14081" max="14081" width="3.28515625" style="92" customWidth="1"/>
    <col min="14082" max="14082" width="20.5703125" style="92" customWidth="1"/>
    <col min="14083" max="14083" width="13.85546875" style="92" customWidth="1"/>
    <col min="14084" max="14085" width="7.7109375" style="92" customWidth="1"/>
    <col min="14086" max="14086" width="9" style="92" customWidth="1"/>
    <col min="14087" max="14087" width="14.7109375" style="92" customWidth="1"/>
    <col min="14088" max="14088" width="11.7109375" style="92" customWidth="1"/>
    <col min="14089" max="14089" width="15.140625" style="92" customWidth="1"/>
    <col min="14090" max="14090" width="3.42578125" style="92" customWidth="1"/>
    <col min="14091" max="14093" width="8.42578125" style="92" customWidth="1"/>
    <col min="14094" max="14095" width="13.28515625" style="92" customWidth="1"/>
    <col min="14096" max="14096" width="12.5703125" style="92" customWidth="1"/>
    <col min="14097" max="14336" width="11.7109375" style="92"/>
    <col min="14337" max="14337" width="3.28515625" style="92" customWidth="1"/>
    <col min="14338" max="14338" width="20.5703125" style="92" customWidth="1"/>
    <col min="14339" max="14339" width="13.85546875" style="92" customWidth="1"/>
    <col min="14340" max="14341" width="7.7109375" style="92" customWidth="1"/>
    <col min="14342" max="14342" width="9" style="92" customWidth="1"/>
    <col min="14343" max="14343" width="14.7109375" style="92" customWidth="1"/>
    <col min="14344" max="14344" width="11.7109375" style="92" customWidth="1"/>
    <col min="14345" max="14345" width="15.140625" style="92" customWidth="1"/>
    <col min="14346" max="14346" width="3.42578125" style="92" customWidth="1"/>
    <col min="14347" max="14349" width="8.42578125" style="92" customWidth="1"/>
    <col min="14350" max="14351" width="13.28515625" style="92" customWidth="1"/>
    <col min="14352" max="14352" width="12.5703125" style="92" customWidth="1"/>
    <col min="14353" max="14592" width="11.7109375" style="92"/>
    <col min="14593" max="14593" width="3.28515625" style="92" customWidth="1"/>
    <col min="14594" max="14594" width="20.5703125" style="92" customWidth="1"/>
    <col min="14595" max="14595" width="13.85546875" style="92" customWidth="1"/>
    <col min="14596" max="14597" width="7.7109375" style="92" customWidth="1"/>
    <col min="14598" max="14598" width="9" style="92" customWidth="1"/>
    <col min="14599" max="14599" width="14.7109375" style="92" customWidth="1"/>
    <col min="14600" max="14600" width="11.7109375" style="92" customWidth="1"/>
    <col min="14601" max="14601" width="15.140625" style="92" customWidth="1"/>
    <col min="14602" max="14602" width="3.42578125" style="92" customWidth="1"/>
    <col min="14603" max="14605" width="8.42578125" style="92" customWidth="1"/>
    <col min="14606" max="14607" width="13.28515625" style="92" customWidth="1"/>
    <col min="14608" max="14608" width="12.5703125" style="92" customWidth="1"/>
    <col min="14609" max="14848" width="11.7109375" style="92"/>
    <col min="14849" max="14849" width="3.28515625" style="92" customWidth="1"/>
    <col min="14850" max="14850" width="20.5703125" style="92" customWidth="1"/>
    <col min="14851" max="14851" width="13.85546875" style="92" customWidth="1"/>
    <col min="14852" max="14853" width="7.7109375" style="92" customWidth="1"/>
    <col min="14854" max="14854" width="9" style="92" customWidth="1"/>
    <col min="14855" max="14855" width="14.7109375" style="92" customWidth="1"/>
    <col min="14856" max="14856" width="11.7109375" style="92" customWidth="1"/>
    <col min="14857" max="14857" width="15.140625" style="92" customWidth="1"/>
    <col min="14858" max="14858" width="3.42578125" style="92" customWidth="1"/>
    <col min="14859" max="14861" width="8.42578125" style="92" customWidth="1"/>
    <col min="14862" max="14863" width="13.28515625" style="92" customWidth="1"/>
    <col min="14864" max="14864" width="12.5703125" style="92" customWidth="1"/>
    <col min="14865" max="15104" width="11.7109375" style="92"/>
    <col min="15105" max="15105" width="3.28515625" style="92" customWidth="1"/>
    <col min="15106" max="15106" width="20.5703125" style="92" customWidth="1"/>
    <col min="15107" max="15107" width="13.85546875" style="92" customWidth="1"/>
    <col min="15108" max="15109" width="7.7109375" style="92" customWidth="1"/>
    <col min="15110" max="15110" width="9" style="92" customWidth="1"/>
    <col min="15111" max="15111" width="14.7109375" style="92" customWidth="1"/>
    <col min="15112" max="15112" width="11.7109375" style="92" customWidth="1"/>
    <col min="15113" max="15113" width="15.140625" style="92" customWidth="1"/>
    <col min="15114" max="15114" width="3.42578125" style="92" customWidth="1"/>
    <col min="15115" max="15117" width="8.42578125" style="92" customWidth="1"/>
    <col min="15118" max="15119" width="13.28515625" style="92" customWidth="1"/>
    <col min="15120" max="15120" width="12.5703125" style="92" customWidth="1"/>
    <col min="15121" max="15360" width="11.7109375" style="92"/>
    <col min="15361" max="15361" width="3.28515625" style="92" customWidth="1"/>
    <col min="15362" max="15362" width="20.5703125" style="92" customWidth="1"/>
    <col min="15363" max="15363" width="13.85546875" style="92" customWidth="1"/>
    <col min="15364" max="15365" width="7.7109375" style="92" customWidth="1"/>
    <col min="15366" max="15366" width="9" style="92" customWidth="1"/>
    <col min="15367" max="15367" width="14.7109375" style="92" customWidth="1"/>
    <col min="15368" max="15368" width="11.7109375" style="92" customWidth="1"/>
    <col min="15369" max="15369" width="15.140625" style="92" customWidth="1"/>
    <col min="15370" max="15370" width="3.42578125" style="92" customWidth="1"/>
    <col min="15371" max="15373" width="8.42578125" style="92" customWidth="1"/>
    <col min="15374" max="15375" width="13.28515625" style="92" customWidth="1"/>
    <col min="15376" max="15376" width="12.5703125" style="92" customWidth="1"/>
    <col min="15377" max="15616" width="11.7109375" style="92"/>
    <col min="15617" max="15617" width="3.28515625" style="92" customWidth="1"/>
    <col min="15618" max="15618" width="20.5703125" style="92" customWidth="1"/>
    <col min="15619" max="15619" width="13.85546875" style="92" customWidth="1"/>
    <col min="15620" max="15621" width="7.7109375" style="92" customWidth="1"/>
    <col min="15622" max="15622" width="9" style="92" customWidth="1"/>
    <col min="15623" max="15623" width="14.7109375" style="92" customWidth="1"/>
    <col min="15624" max="15624" width="11.7109375" style="92" customWidth="1"/>
    <col min="15625" max="15625" width="15.140625" style="92" customWidth="1"/>
    <col min="15626" max="15626" width="3.42578125" style="92" customWidth="1"/>
    <col min="15627" max="15629" width="8.42578125" style="92" customWidth="1"/>
    <col min="15630" max="15631" width="13.28515625" style="92" customWidth="1"/>
    <col min="15632" max="15632" width="12.5703125" style="92" customWidth="1"/>
    <col min="15633" max="15872" width="11.7109375" style="92"/>
    <col min="15873" max="15873" width="3.28515625" style="92" customWidth="1"/>
    <col min="15874" max="15874" width="20.5703125" style="92" customWidth="1"/>
    <col min="15875" max="15875" width="13.85546875" style="92" customWidth="1"/>
    <col min="15876" max="15877" width="7.7109375" style="92" customWidth="1"/>
    <col min="15878" max="15878" width="9" style="92" customWidth="1"/>
    <col min="15879" max="15879" width="14.7109375" style="92" customWidth="1"/>
    <col min="15880" max="15880" width="11.7109375" style="92" customWidth="1"/>
    <col min="15881" max="15881" width="15.140625" style="92" customWidth="1"/>
    <col min="15882" max="15882" width="3.42578125" style="92" customWidth="1"/>
    <col min="15883" max="15885" width="8.42578125" style="92" customWidth="1"/>
    <col min="15886" max="15887" width="13.28515625" style="92" customWidth="1"/>
    <col min="15888" max="15888" width="12.5703125" style="92" customWidth="1"/>
    <col min="15889" max="16128" width="11.7109375" style="92"/>
    <col min="16129" max="16129" width="3.28515625" style="92" customWidth="1"/>
    <col min="16130" max="16130" width="20.5703125" style="92" customWidth="1"/>
    <col min="16131" max="16131" width="13.85546875" style="92" customWidth="1"/>
    <col min="16132" max="16133" width="7.7109375" style="92" customWidth="1"/>
    <col min="16134" max="16134" width="9" style="92" customWidth="1"/>
    <col min="16135" max="16135" width="14.7109375" style="92" customWidth="1"/>
    <col min="16136" max="16136" width="11.7109375" style="92" customWidth="1"/>
    <col min="16137" max="16137" width="15.140625" style="92" customWidth="1"/>
    <col min="16138" max="16138" width="3.42578125" style="92" customWidth="1"/>
    <col min="16139" max="16141" width="8.42578125" style="92" customWidth="1"/>
    <col min="16142" max="16143" width="13.28515625" style="92" customWidth="1"/>
    <col min="16144" max="16144" width="12.5703125" style="92" customWidth="1"/>
    <col min="16145" max="16384" width="11.7109375" style="92"/>
  </cols>
  <sheetData>
    <row r="1" spans="2:12" x14ac:dyDescent="0.3">
      <c r="B1" s="246"/>
      <c r="C1" s="246"/>
      <c r="D1" s="246"/>
      <c r="E1" s="246"/>
      <c r="F1" s="246"/>
      <c r="G1" s="246"/>
      <c r="H1" s="246"/>
      <c r="I1" s="246"/>
    </row>
    <row r="2" spans="2:12" ht="20.25" x14ac:dyDescent="0.3">
      <c r="B2" s="252" t="s">
        <v>243</v>
      </c>
      <c r="C2" s="253"/>
      <c r="D2" s="253"/>
      <c r="E2" s="253"/>
      <c r="F2" s="246"/>
      <c r="G2" s="246"/>
      <c r="H2" s="246"/>
      <c r="I2" s="246"/>
    </row>
    <row r="3" spans="2:12" ht="20.25" x14ac:dyDescent="0.3">
      <c r="B3" s="254"/>
      <c r="C3" s="255"/>
      <c r="D3" s="255"/>
      <c r="E3" s="246"/>
      <c r="F3" s="246"/>
      <c r="G3" s="246"/>
      <c r="H3" s="246"/>
      <c r="I3" s="246"/>
    </row>
    <row r="4" spans="2:12" ht="15" thickBot="1" x14ac:dyDescent="0.35">
      <c r="B4" s="6" t="s">
        <v>0</v>
      </c>
      <c r="C4" s="255"/>
      <c r="D4" s="122" t="s">
        <v>2</v>
      </c>
      <c r="E4" s="246"/>
      <c r="F4" s="246"/>
      <c r="G4" s="246"/>
      <c r="H4" s="5" t="s">
        <v>1</v>
      </c>
      <c r="I4" s="246"/>
    </row>
    <row r="5" spans="2:12" ht="16.5" thickBot="1" x14ac:dyDescent="0.35">
      <c r="B5" s="256">
        <f>Accueil!C11</f>
        <v>0</v>
      </c>
      <c r="C5" s="255"/>
      <c r="D5" s="513">
        <f>Accueil!F9</f>
        <v>0</v>
      </c>
      <c r="E5" s="514"/>
      <c r="F5" s="521"/>
      <c r="G5" s="246"/>
      <c r="H5" s="513">
        <f>Accueil!F9</f>
        <v>0</v>
      </c>
      <c r="I5" s="514"/>
      <c r="J5" s="121"/>
    </row>
    <row r="6" spans="2:12" ht="24" customHeight="1" thickBot="1" x14ac:dyDescent="0.35">
      <c r="B6" s="257"/>
      <c r="C6" s="246"/>
      <c r="D6" s="246"/>
      <c r="E6" s="246"/>
      <c r="F6" s="246"/>
      <c r="G6" s="246"/>
      <c r="H6" s="246"/>
      <c r="I6" s="246"/>
      <c r="L6" s="6"/>
    </row>
    <row r="7" spans="2:12" ht="45.75" customHeight="1" thickBot="1" x14ac:dyDescent="0.35">
      <c r="B7" s="258" t="s">
        <v>234</v>
      </c>
      <c r="C7" s="259"/>
      <c r="D7" s="259"/>
      <c r="E7" s="259"/>
      <c r="F7" s="259"/>
      <c r="G7" s="259"/>
      <c r="H7" s="259"/>
      <c r="I7" s="260" t="s">
        <v>94</v>
      </c>
    </row>
    <row r="8" spans="2:12" ht="25.5" customHeight="1" x14ac:dyDescent="0.3">
      <c r="B8" s="468" t="s">
        <v>95</v>
      </c>
      <c r="C8" s="488" t="s">
        <v>141</v>
      </c>
      <c r="D8" s="518" t="s">
        <v>96</v>
      </c>
      <c r="E8" s="519"/>
      <c r="F8" s="519"/>
      <c r="G8" s="241" t="s">
        <v>97</v>
      </c>
      <c r="H8" s="242" t="s">
        <v>98</v>
      </c>
      <c r="I8" s="479">
        <f>IF(AND(G9&gt;0,H9&gt;0),(H9*G9*0.85)/1000,0)</f>
        <v>0</v>
      </c>
    </row>
    <row r="9" spans="2:12" ht="15" thickBot="1" x14ac:dyDescent="0.35">
      <c r="B9" s="469"/>
      <c r="C9" s="489"/>
      <c r="D9" s="481">
        <v>1.3</v>
      </c>
      <c r="E9" s="482"/>
      <c r="F9" s="482"/>
      <c r="G9" s="243">
        <f>IF(D9&gt;0,(130*(D9*D9))/0.85,"")</f>
        <v>258.47058823529414</v>
      </c>
      <c r="H9" s="128"/>
      <c r="I9" s="480"/>
    </row>
    <row r="10" spans="2:12" ht="25.5" x14ac:dyDescent="0.3">
      <c r="B10" s="469"/>
      <c r="C10" s="511" t="s">
        <v>99</v>
      </c>
      <c r="D10" s="507" t="s">
        <v>100</v>
      </c>
      <c r="E10" s="508"/>
      <c r="F10" s="509"/>
      <c r="G10" s="239" t="s">
        <v>97</v>
      </c>
      <c r="H10" s="240" t="s">
        <v>98</v>
      </c>
      <c r="I10" s="512">
        <f>IF(AND(G11&gt;0,H11&gt;0),(H11*G11*0.85)/1000,0)</f>
        <v>0</v>
      </c>
    </row>
    <row r="11" spans="2:12" ht="15" customHeight="1" thickBot="1" x14ac:dyDescent="0.35">
      <c r="B11" s="469"/>
      <c r="C11" s="489"/>
      <c r="D11" s="123">
        <v>0</v>
      </c>
      <c r="E11" s="124">
        <v>0</v>
      </c>
      <c r="F11" s="125">
        <v>0</v>
      </c>
      <c r="G11" s="244" t="str">
        <f>IF(AND(D11&gt;0,E11&gt;0,F11&gt;0),(165*(D11*E11*F11))/0.85,"")</f>
        <v/>
      </c>
      <c r="H11" s="138">
        <v>0</v>
      </c>
      <c r="I11" s="480"/>
    </row>
    <row r="12" spans="2:12" ht="25.5" x14ac:dyDescent="0.3">
      <c r="B12" s="468" t="s">
        <v>101</v>
      </c>
      <c r="C12" s="488" t="s">
        <v>5</v>
      </c>
      <c r="D12" s="518" t="s">
        <v>96</v>
      </c>
      <c r="E12" s="519"/>
      <c r="F12" s="519"/>
      <c r="G12" s="241" t="s">
        <v>97</v>
      </c>
      <c r="H12" s="242" t="s">
        <v>98</v>
      </c>
      <c r="I12" s="479">
        <f>IF(AND(G13&gt;0,H13&gt;0),(H13*G13*0.9)/1000,0)</f>
        <v>0</v>
      </c>
    </row>
    <row r="13" spans="2:12" ht="15" customHeight="1" thickBot="1" x14ac:dyDescent="0.35">
      <c r="B13" s="469"/>
      <c r="C13" s="489"/>
      <c r="D13" s="481">
        <v>1.5</v>
      </c>
      <c r="E13" s="482"/>
      <c r="F13" s="482"/>
      <c r="G13" s="243">
        <f>IF(D13&gt;0,(120*(D13*D13))/0.9,"")</f>
        <v>300</v>
      </c>
      <c r="H13" s="128">
        <v>0</v>
      </c>
      <c r="I13" s="480"/>
    </row>
    <row r="14" spans="2:12" ht="25.5" x14ac:dyDescent="0.3">
      <c r="B14" s="469"/>
      <c r="C14" s="511" t="s">
        <v>99</v>
      </c>
      <c r="D14" s="507" t="s">
        <v>100</v>
      </c>
      <c r="E14" s="508"/>
      <c r="F14" s="509"/>
      <c r="G14" s="239" t="s">
        <v>97</v>
      </c>
      <c r="H14" s="240" t="s">
        <v>98</v>
      </c>
      <c r="I14" s="512">
        <f>IF(AND(G15&gt;0,H15&gt;0),(H15*G15*0.9)/1000,0)</f>
        <v>0</v>
      </c>
    </row>
    <row r="15" spans="2:12" ht="15" customHeight="1" thickBot="1" x14ac:dyDescent="0.35">
      <c r="B15" s="469"/>
      <c r="C15" s="489"/>
      <c r="D15" s="123">
        <v>0</v>
      </c>
      <c r="E15" s="124">
        <v>0</v>
      </c>
      <c r="F15" s="125">
        <v>0</v>
      </c>
      <c r="G15" s="359" t="str">
        <f>IF(AND(D15&gt;0,E15&gt;0,F15&gt;0),(150*(D15*E15*F15))/0.9,"")</f>
        <v/>
      </c>
      <c r="H15" s="138">
        <v>0</v>
      </c>
      <c r="I15" s="480"/>
    </row>
    <row r="16" spans="2:12" ht="26.25" customHeight="1" x14ac:dyDescent="0.3">
      <c r="B16" s="473" t="s">
        <v>155</v>
      </c>
      <c r="C16" s="474"/>
      <c r="D16" s="518" t="s">
        <v>103</v>
      </c>
      <c r="E16" s="519"/>
      <c r="F16" s="519"/>
      <c r="G16" s="241" t="s">
        <v>97</v>
      </c>
      <c r="H16" s="242" t="s">
        <v>98</v>
      </c>
      <c r="I16" s="556">
        <f>(H17*G17)/1000</f>
        <v>0</v>
      </c>
    </row>
    <row r="17" spans="2:13" ht="15" customHeight="1" thickBot="1" x14ac:dyDescent="0.35">
      <c r="B17" s="565"/>
      <c r="C17" s="566"/>
      <c r="D17" s="481"/>
      <c r="E17" s="482"/>
      <c r="F17" s="482"/>
      <c r="G17" s="355"/>
      <c r="H17" s="128"/>
      <c r="I17" s="477"/>
    </row>
    <row r="18" spans="2:13" ht="15" customHeight="1" x14ac:dyDescent="0.3">
      <c r="B18" s="547" t="s">
        <v>156</v>
      </c>
      <c r="C18" s="548"/>
      <c r="D18" s="497" t="s">
        <v>105</v>
      </c>
      <c r="E18" s="498"/>
      <c r="F18" s="572"/>
      <c r="G18" s="551" t="s">
        <v>103</v>
      </c>
      <c r="H18" s="553"/>
      <c r="I18" s="556">
        <f>IF(AND(D19&gt;0,E19&gt;0,F19&gt;0,G19&gt;0),(((2*G19)+(30*D19)+60)*((D19*E19*F19)*0.95)/1000),0)</f>
        <v>0</v>
      </c>
    </row>
    <row r="19" spans="2:13" ht="18" customHeight="1" thickBot="1" x14ac:dyDescent="0.35">
      <c r="B19" s="570"/>
      <c r="C19" s="571"/>
      <c r="D19" s="144">
        <v>0</v>
      </c>
      <c r="E19" s="145">
        <v>0</v>
      </c>
      <c r="F19" s="146">
        <v>0</v>
      </c>
      <c r="G19" s="444">
        <v>30</v>
      </c>
      <c r="H19" s="445"/>
      <c r="I19" s="573"/>
    </row>
    <row r="20" spans="2:13" ht="14.25" customHeight="1" x14ac:dyDescent="0.3">
      <c r="B20" s="446" t="s">
        <v>106</v>
      </c>
      <c r="C20" s="502"/>
      <c r="D20" s="504" t="s">
        <v>100</v>
      </c>
      <c r="E20" s="505"/>
      <c r="F20" s="506"/>
      <c r="G20" s="450" t="s">
        <v>103</v>
      </c>
      <c r="H20" s="452"/>
      <c r="I20" s="477">
        <f>IF(AND(D21&gt;0,E21&gt;0,F21&gt;0,G21&gt;0),(((5*G21)+(15*D21)+35)*((D21*E21*F21)*0.95)/1000),0)</f>
        <v>0</v>
      </c>
    </row>
    <row r="21" spans="2:13" ht="15" thickBot="1" x14ac:dyDescent="0.35">
      <c r="B21" s="446"/>
      <c r="C21" s="502"/>
      <c r="D21" s="231">
        <v>0</v>
      </c>
      <c r="E21" s="232">
        <v>0</v>
      </c>
      <c r="F21" s="233">
        <v>0</v>
      </c>
      <c r="G21" s="574">
        <v>32</v>
      </c>
      <c r="H21" s="575"/>
      <c r="I21" s="477"/>
    </row>
    <row r="22" spans="2:13" ht="14.25" customHeight="1" x14ac:dyDescent="0.3">
      <c r="B22" s="547" t="s">
        <v>107</v>
      </c>
      <c r="C22" s="577"/>
      <c r="D22" s="579" t="s">
        <v>100</v>
      </c>
      <c r="E22" s="580"/>
      <c r="F22" s="581"/>
      <c r="G22" s="551" t="s">
        <v>103</v>
      </c>
      <c r="H22" s="553"/>
      <c r="I22" s="556">
        <f>IF(AND(D23&gt;0,E23&gt;0,F23&gt;0,G23&gt;0),((((5*G23)+(15*D23)+35)*1.2)*((D23*E23*F23)*0.95)/1000),0)</f>
        <v>0</v>
      </c>
    </row>
    <row r="23" spans="2:13" ht="15" customHeight="1" thickBot="1" x14ac:dyDescent="0.35">
      <c r="B23" s="570"/>
      <c r="C23" s="578"/>
      <c r="D23" s="144">
        <v>0</v>
      </c>
      <c r="E23" s="145">
        <v>0</v>
      </c>
      <c r="F23" s="146">
        <v>0</v>
      </c>
      <c r="G23" s="461">
        <v>32</v>
      </c>
      <c r="H23" s="462"/>
      <c r="I23" s="573"/>
    </row>
    <row r="24" spans="2:13" ht="25.5" x14ac:dyDescent="0.3">
      <c r="B24" s="446" t="s">
        <v>153</v>
      </c>
      <c r="C24" s="447"/>
      <c r="D24" s="450" t="s">
        <v>103</v>
      </c>
      <c r="E24" s="451"/>
      <c r="F24" s="452"/>
      <c r="G24" s="239" t="s">
        <v>97</v>
      </c>
      <c r="H24" s="240" t="s">
        <v>98</v>
      </c>
      <c r="I24" s="453">
        <f>((G25*(D25/100))*H25)/1000</f>
        <v>0</v>
      </c>
    </row>
    <row r="25" spans="2:13" ht="15" thickBot="1" x14ac:dyDescent="0.35">
      <c r="B25" s="446"/>
      <c r="C25" s="447"/>
      <c r="D25" s="576"/>
      <c r="E25" s="574"/>
      <c r="F25" s="575"/>
      <c r="G25" s="229"/>
      <c r="H25" s="230"/>
      <c r="I25" s="453"/>
    </row>
    <row r="26" spans="2:13" ht="21.75" customHeight="1" x14ac:dyDescent="0.3">
      <c r="B26" s="547" t="s">
        <v>152</v>
      </c>
      <c r="C26" s="577"/>
      <c r="D26" s="551" t="s">
        <v>110</v>
      </c>
      <c r="E26" s="552"/>
      <c r="F26" s="553"/>
      <c r="G26" s="552" t="s">
        <v>111</v>
      </c>
      <c r="H26" s="553"/>
      <c r="I26" s="582">
        <f>((D27*G27)*0.95)/1000</f>
        <v>0</v>
      </c>
    </row>
    <row r="27" spans="2:13" ht="15" thickBot="1" x14ac:dyDescent="0.35">
      <c r="B27" s="570"/>
      <c r="C27" s="578"/>
      <c r="D27" s="443"/>
      <c r="E27" s="444"/>
      <c r="F27" s="445"/>
      <c r="G27" s="444"/>
      <c r="H27" s="445"/>
      <c r="I27" s="583"/>
    </row>
    <row r="28" spans="2:13" ht="9" customHeight="1" x14ac:dyDescent="0.3">
      <c r="B28" s="246"/>
      <c r="C28" s="248"/>
      <c r="D28" s="248"/>
      <c r="E28" s="248"/>
      <c r="F28" s="249"/>
      <c r="G28" s="250"/>
      <c r="H28" s="246"/>
      <c r="I28" s="251"/>
    </row>
    <row r="29" spans="2:13" x14ac:dyDescent="0.3">
      <c r="B29" s="246"/>
      <c r="C29" s="246"/>
      <c r="D29" s="246"/>
      <c r="E29" s="246"/>
      <c r="F29" s="246"/>
      <c r="G29" s="246"/>
      <c r="H29" s="246"/>
      <c r="I29" s="246"/>
    </row>
    <row r="30" spans="2:13" x14ac:dyDescent="0.3">
      <c r="B30" s="245" t="str">
        <f>"(1) les volumes calculés sont diminués de 5% pour tenir compte des pertes au silo et à l'auge"</f>
        <v>(1) les volumes calculés sont diminués de 5% pour tenir compte des pertes au silo et à l'auge</v>
      </c>
      <c r="C30" s="246"/>
      <c r="D30" s="246"/>
      <c r="E30" s="246"/>
      <c r="F30" s="246"/>
      <c r="G30" s="246"/>
      <c r="H30" s="246"/>
      <c r="I30" s="246"/>
    </row>
    <row r="31" spans="2:13" x14ac:dyDescent="0.3">
      <c r="B31" s="246"/>
      <c r="C31" s="246"/>
      <c r="D31" s="246"/>
      <c r="E31" s="246"/>
      <c r="F31" s="246"/>
      <c r="G31" s="246"/>
      <c r="H31" s="246"/>
      <c r="I31" s="246"/>
    </row>
    <row r="32" spans="2:13" x14ac:dyDescent="0.3">
      <c r="B32" s="246"/>
      <c r="C32" s="246"/>
      <c r="D32" s="246"/>
      <c r="E32" s="246"/>
      <c r="F32" s="246"/>
      <c r="G32" s="246"/>
      <c r="H32" s="246"/>
      <c r="I32" s="246"/>
      <c r="M32" s="246"/>
    </row>
    <row r="33" spans="2:9" x14ac:dyDescent="0.3">
      <c r="B33" s="246"/>
      <c r="C33" s="246"/>
      <c r="D33" s="246"/>
      <c r="E33" s="246"/>
      <c r="F33" s="246"/>
      <c r="G33" s="246"/>
      <c r="H33" s="246"/>
      <c r="I33" s="247">
        <f>SUM(I8:I27)</f>
        <v>0</v>
      </c>
    </row>
    <row r="34" spans="2:9" x14ac:dyDescent="0.3">
      <c r="B34" s="246"/>
      <c r="C34" s="246"/>
      <c r="D34" s="246"/>
      <c r="E34" s="246"/>
      <c r="F34" s="246"/>
      <c r="G34" s="246"/>
      <c r="H34" s="246"/>
      <c r="I34" s="246"/>
    </row>
    <row r="37" spans="2:9" x14ac:dyDescent="0.3">
      <c r="I37" s="219">
        <f>SUM(I8:I27)</f>
        <v>0</v>
      </c>
    </row>
  </sheetData>
  <sheetProtection sheet="1" objects="1" scenarios="1" selectLockedCells="1"/>
  <mergeCells count="47">
    <mergeCell ref="B26:C27"/>
    <mergeCell ref="D26:F26"/>
    <mergeCell ref="G26:H26"/>
    <mergeCell ref="I26:I27"/>
    <mergeCell ref="D27:F27"/>
    <mergeCell ref="G27:H27"/>
    <mergeCell ref="B24:C25"/>
    <mergeCell ref="D24:F24"/>
    <mergeCell ref="I24:I25"/>
    <mergeCell ref="D25:F25"/>
    <mergeCell ref="B22:C23"/>
    <mergeCell ref="D22:F22"/>
    <mergeCell ref="G22:H22"/>
    <mergeCell ref="I22:I23"/>
    <mergeCell ref="G23:H23"/>
    <mergeCell ref="B20:C21"/>
    <mergeCell ref="D20:F20"/>
    <mergeCell ref="G20:H20"/>
    <mergeCell ref="I20:I21"/>
    <mergeCell ref="G21:H21"/>
    <mergeCell ref="B8:B11"/>
    <mergeCell ref="C8:C9"/>
    <mergeCell ref="D8:F8"/>
    <mergeCell ref="I8:I9"/>
    <mergeCell ref="B18:C19"/>
    <mergeCell ref="D18:F18"/>
    <mergeCell ref="G18:H18"/>
    <mergeCell ref="I18:I19"/>
    <mergeCell ref="G19:H19"/>
    <mergeCell ref="D14:F14"/>
    <mergeCell ref="I14:I15"/>
    <mergeCell ref="B16:C17"/>
    <mergeCell ref="I16:I17"/>
    <mergeCell ref="B12:B15"/>
    <mergeCell ref="C12:C13"/>
    <mergeCell ref="D12:F12"/>
    <mergeCell ref="C14:C15"/>
    <mergeCell ref="D9:F9"/>
    <mergeCell ref="C10:C11"/>
    <mergeCell ref="D10:F10"/>
    <mergeCell ref="I10:I11"/>
    <mergeCell ref="D16:F16"/>
    <mergeCell ref="D17:F17"/>
    <mergeCell ref="D5:F5"/>
    <mergeCell ref="H5:I5"/>
    <mergeCell ref="I12:I13"/>
    <mergeCell ref="D13:F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topLeftCell="A52" zoomScaleNormal="100" workbookViewId="0">
      <selection activeCell="D13" sqref="D13"/>
    </sheetView>
  </sheetViews>
  <sheetFormatPr baseColWidth="10" defaultRowHeight="15" x14ac:dyDescent="0.25"/>
  <cols>
    <col min="1" max="1" width="8" customWidth="1"/>
    <col min="2" max="2" width="16" customWidth="1"/>
    <col min="5" max="5" width="10.42578125" customWidth="1"/>
    <col min="7" max="7" width="13" customWidth="1"/>
    <col min="8" max="8" width="4.7109375" style="16" customWidth="1"/>
    <col min="9" max="9" width="10.28515625" style="16" customWidth="1"/>
    <col min="10" max="10" width="5" customWidth="1"/>
    <col min="11" max="11" width="11.7109375" customWidth="1"/>
    <col min="257" max="257" width="8" customWidth="1"/>
    <col min="258" max="258" width="16" customWidth="1"/>
    <col min="261" max="261" width="10.42578125" customWidth="1"/>
    <col min="263" max="263" width="13" customWidth="1"/>
    <col min="264" max="264" width="4.7109375" customWidth="1"/>
    <col min="265" max="265" width="10.28515625" customWidth="1"/>
    <col min="266" max="266" width="5" customWidth="1"/>
    <col min="267" max="267" width="11.7109375" customWidth="1"/>
    <col min="513" max="513" width="8" customWidth="1"/>
    <col min="514" max="514" width="16" customWidth="1"/>
    <col min="517" max="517" width="10.42578125" customWidth="1"/>
    <col min="519" max="519" width="13" customWidth="1"/>
    <col min="520" max="520" width="4.7109375" customWidth="1"/>
    <col min="521" max="521" width="10.28515625" customWidth="1"/>
    <col min="522" max="522" width="5" customWidth="1"/>
    <col min="523" max="523" width="11.7109375" customWidth="1"/>
    <col min="769" max="769" width="8" customWidth="1"/>
    <col min="770" max="770" width="16" customWidth="1"/>
    <col min="773" max="773" width="10.42578125" customWidth="1"/>
    <col min="775" max="775" width="13" customWidth="1"/>
    <col min="776" max="776" width="4.7109375" customWidth="1"/>
    <col min="777" max="777" width="10.28515625" customWidth="1"/>
    <col min="778" max="778" width="5" customWidth="1"/>
    <col min="779" max="779" width="11.7109375" customWidth="1"/>
    <col min="1025" max="1025" width="8" customWidth="1"/>
    <col min="1026" max="1026" width="16" customWidth="1"/>
    <col min="1029" max="1029" width="10.42578125" customWidth="1"/>
    <col min="1031" max="1031" width="13" customWidth="1"/>
    <col min="1032" max="1032" width="4.7109375" customWidth="1"/>
    <col min="1033" max="1033" width="10.28515625" customWidth="1"/>
    <col min="1034" max="1034" width="5" customWidth="1"/>
    <col min="1035" max="1035" width="11.7109375" customWidth="1"/>
    <col min="1281" max="1281" width="8" customWidth="1"/>
    <col min="1282" max="1282" width="16" customWidth="1"/>
    <col min="1285" max="1285" width="10.42578125" customWidth="1"/>
    <col min="1287" max="1287" width="13" customWidth="1"/>
    <col min="1288" max="1288" width="4.7109375" customWidth="1"/>
    <col min="1289" max="1289" width="10.28515625" customWidth="1"/>
    <col min="1290" max="1290" width="5" customWidth="1"/>
    <col min="1291" max="1291" width="11.7109375" customWidth="1"/>
    <col min="1537" max="1537" width="8" customWidth="1"/>
    <col min="1538" max="1538" width="16" customWidth="1"/>
    <col min="1541" max="1541" width="10.42578125" customWidth="1"/>
    <col min="1543" max="1543" width="13" customWidth="1"/>
    <col min="1544" max="1544" width="4.7109375" customWidth="1"/>
    <col min="1545" max="1545" width="10.28515625" customWidth="1"/>
    <col min="1546" max="1546" width="5" customWidth="1"/>
    <col min="1547" max="1547" width="11.7109375" customWidth="1"/>
    <col min="1793" max="1793" width="8" customWidth="1"/>
    <col min="1794" max="1794" width="16" customWidth="1"/>
    <col min="1797" max="1797" width="10.42578125" customWidth="1"/>
    <col min="1799" max="1799" width="13" customWidth="1"/>
    <col min="1800" max="1800" width="4.7109375" customWidth="1"/>
    <col min="1801" max="1801" width="10.28515625" customWidth="1"/>
    <col min="1802" max="1802" width="5" customWidth="1"/>
    <col min="1803" max="1803" width="11.7109375" customWidth="1"/>
    <col min="2049" max="2049" width="8" customWidth="1"/>
    <col min="2050" max="2050" width="16" customWidth="1"/>
    <col min="2053" max="2053" width="10.42578125" customWidth="1"/>
    <col min="2055" max="2055" width="13" customWidth="1"/>
    <col min="2056" max="2056" width="4.7109375" customWidth="1"/>
    <col min="2057" max="2057" width="10.28515625" customWidth="1"/>
    <col min="2058" max="2058" width="5" customWidth="1"/>
    <col min="2059" max="2059" width="11.7109375" customWidth="1"/>
    <col min="2305" max="2305" width="8" customWidth="1"/>
    <col min="2306" max="2306" width="16" customWidth="1"/>
    <col min="2309" max="2309" width="10.42578125" customWidth="1"/>
    <col min="2311" max="2311" width="13" customWidth="1"/>
    <col min="2312" max="2312" width="4.7109375" customWidth="1"/>
    <col min="2313" max="2313" width="10.28515625" customWidth="1"/>
    <col min="2314" max="2314" width="5" customWidth="1"/>
    <col min="2315" max="2315" width="11.7109375" customWidth="1"/>
    <col min="2561" max="2561" width="8" customWidth="1"/>
    <col min="2562" max="2562" width="16" customWidth="1"/>
    <col min="2565" max="2565" width="10.42578125" customWidth="1"/>
    <col min="2567" max="2567" width="13" customWidth="1"/>
    <col min="2568" max="2568" width="4.7109375" customWidth="1"/>
    <col min="2569" max="2569" width="10.28515625" customWidth="1"/>
    <col min="2570" max="2570" width="5" customWidth="1"/>
    <col min="2571" max="2571" width="11.7109375" customWidth="1"/>
    <col min="2817" max="2817" width="8" customWidth="1"/>
    <col min="2818" max="2818" width="16" customWidth="1"/>
    <col min="2821" max="2821" width="10.42578125" customWidth="1"/>
    <col min="2823" max="2823" width="13" customWidth="1"/>
    <col min="2824" max="2824" width="4.7109375" customWidth="1"/>
    <col min="2825" max="2825" width="10.28515625" customWidth="1"/>
    <col min="2826" max="2826" width="5" customWidth="1"/>
    <col min="2827" max="2827" width="11.7109375" customWidth="1"/>
    <col min="3073" max="3073" width="8" customWidth="1"/>
    <col min="3074" max="3074" width="16" customWidth="1"/>
    <col min="3077" max="3077" width="10.42578125" customWidth="1"/>
    <col min="3079" max="3079" width="13" customWidth="1"/>
    <col min="3080" max="3080" width="4.7109375" customWidth="1"/>
    <col min="3081" max="3081" width="10.28515625" customWidth="1"/>
    <col min="3082" max="3082" width="5" customWidth="1"/>
    <col min="3083" max="3083" width="11.7109375" customWidth="1"/>
    <col min="3329" max="3329" width="8" customWidth="1"/>
    <col min="3330" max="3330" width="16" customWidth="1"/>
    <col min="3333" max="3333" width="10.42578125" customWidth="1"/>
    <col min="3335" max="3335" width="13" customWidth="1"/>
    <col min="3336" max="3336" width="4.7109375" customWidth="1"/>
    <col min="3337" max="3337" width="10.28515625" customWidth="1"/>
    <col min="3338" max="3338" width="5" customWidth="1"/>
    <col min="3339" max="3339" width="11.7109375" customWidth="1"/>
    <col min="3585" max="3585" width="8" customWidth="1"/>
    <col min="3586" max="3586" width="16" customWidth="1"/>
    <col min="3589" max="3589" width="10.42578125" customWidth="1"/>
    <col min="3591" max="3591" width="13" customWidth="1"/>
    <col min="3592" max="3592" width="4.7109375" customWidth="1"/>
    <col min="3593" max="3593" width="10.28515625" customWidth="1"/>
    <col min="3594" max="3594" width="5" customWidth="1"/>
    <col min="3595" max="3595" width="11.7109375" customWidth="1"/>
    <col min="3841" max="3841" width="8" customWidth="1"/>
    <col min="3842" max="3842" width="16" customWidth="1"/>
    <col min="3845" max="3845" width="10.42578125" customWidth="1"/>
    <col min="3847" max="3847" width="13" customWidth="1"/>
    <col min="3848" max="3848" width="4.7109375" customWidth="1"/>
    <col min="3849" max="3849" width="10.28515625" customWidth="1"/>
    <col min="3850" max="3850" width="5" customWidth="1"/>
    <col min="3851" max="3851" width="11.7109375" customWidth="1"/>
    <col min="4097" max="4097" width="8" customWidth="1"/>
    <col min="4098" max="4098" width="16" customWidth="1"/>
    <col min="4101" max="4101" width="10.42578125" customWidth="1"/>
    <col min="4103" max="4103" width="13" customWidth="1"/>
    <col min="4104" max="4104" width="4.7109375" customWidth="1"/>
    <col min="4105" max="4105" width="10.28515625" customWidth="1"/>
    <col min="4106" max="4106" width="5" customWidth="1"/>
    <col min="4107" max="4107" width="11.7109375" customWidth="1"/>
    <col min="4353" max="4353" width="8" customWidth="1"/>
    <col min="4354" max="4354" width="16" customWidth="1"/>
    <col min="4357" max="4357" width="10.42578125" customWidth="1"/>
    <col min="4359" max="4359" width="13" customWidth="1"/>
    <col min="4360" max="4360" width="4.7109375" customWidth="1"/>
    <col min="4361" max="4361" width="10.28515625" customWidth="1"/>
    <col min="4362" max="4362" width="5" customWidth="1"/>
    <col min="4363" max="4363" width="11.7109375" customWidth="1"/>
    <col min="4609" max="4609" width="8" customWidth="1"/>
    <col min="4610" max="4610" width="16" customWidth="1"/>
    <col min="4613" max="4613" width="10.42578125" customWidth="1"/>
    <col min="4615" max="4615" width="13" customWidth="1"/>
    <col min="4616" max="4616" width="4.7109375" customWidth="1"/>
    <col min="4617" max="4617" width="10.28515625" customWidth="1"/>
    <col min="4618" max="4618" width="5" customWidth="1"/>
    <col min="4619" max="4619" width="11.7109375" customWidth="1"/>
    <col min="4865" max="4865" width="8" customWidth="1"/>
    <col min="4866" max="4866" width="16" customWidth="1"/>
    <col min="4869" max="4869" width="10.42578125" customWidth="1"/>
    <col min="4871" max="4871" width="13" customWidth="1"/>
    <col min="4872" max="4872" width="4.7109375" customWidth="1"/>
    <col min="4873" max="4873" width="10.28515625" customWidth="1"/>
    <col min="4874" max="4874" width="5" customWidth="1"/>
    <col min="4875" max="4875" width="11.7109375" customWidth="1"/>
    <col min="5121" max="5121" width="8" customWidth="1"/>
    <col min="5122" max="5122" width="16" customWidth="1"/>
    <col min="5125" max="5125" width="10.42578125" customWidth="1"/>
    <col min="5127" max="5127" width="13" customWidth="1"/>
    <col min="5128" max="5128" width="4.7109375" customWidth="1"/>
    <col min="5129" max="5129" width="10.28515625" customWidth="1"/>
    <col min="5130" max="5130" width="5" customWidth="1"/>
    <col min="5131" max="5131" width="11.7109375" customWidth="1"/>
    <col min="5377" max="5377" width="8" customWidth="1"/>
    <col min="5378" max="5378" width="16" customWidth="1"/>
    <col min="5381" max="5381" width="10.42578125" customWidth="1"/>
    <col min="5383" max="5383" width="13" customWidth="1"/>
    <col min="5384" max="5384" width="4.7109375" customWidth="1"/>
    <col min="5385" max="5385" width="10.28515625" customWidth="1"/>
    <col min="5386" max="5386" width="5" customWidth="1"/>
    <col min="5387" max="5387" width="11.7109375" customWidth="1"/>
    <col min="5633" max="5633" width="8" customWidth="1"/>
    <col min="5634" max="5634" width="16" customWidth="1"/>
    <col min="5637" max="5637" width="10.42578125" customWidth="1"/>
    <col min="5639" max="5639" width="13" customWidth="1"/>
    <col min="5640" max="5640" width="4.7109375" customWidth="1"/>
    <col min="5641" max="5641" width="10.28515625" customWidth="1"/>
    <col min="5642" max="5642" width="5" customWidth="1"/>
    <col min="5643" max="5643" width="11.7109375" customWidth="1"/>
    <col min="5889" max="5889" width="8" customWidth="1"/>
    <col min="5890" max="5890" width="16" customWidth="1"/>
    <col min="5893" max="5893" width="10.42578125" customWidth="1"/>
    <col min="5895" max="5895" width="13" customWidth="1"/>
    <col min="5896" max="5896" width="4.7109375" customWidth="1"/>
    <col min="5897" max="5897" width="10.28515625" customWidth="1"/>
    <col min="5898" max="5898" width="5" customWidth="1"/>
    <col min="5899" max="5899" width="11.7109375" customWidth="1"/>
    <col min="6145" max="6145" width="8" customWidth="1"/>
    <col min="6146" max="6146" width="16" customWidth="1"/>
    <col min="6149" max="6149" width="10.42578125" customWidth="1"/>
    <col min="6151" max="6151" width="13" customWidth="1"/>
    <col min="6152" max="6152" width="4.7109375" customWidth="1"/>
    <col min="6153" max="6153" width="10.28515625" customWidth="1"/>
    <col min="6154" max="6154" width="5" customWidth="1"/>
    <col min="6155" max="6155" width="11.7109375" customWidth="1"/>
    <col min="6401" max="6401" width="8" customWidth="1"/>
    <col min="6402" max="6402" width="16" customWidth="1"/>
    <col min="6405" max="6405" width="10.42578125" customWidth="1"/>
    <col min="6407" max="6407" width="13" customWidth="1"/>
    <col min="6408" max="6408" width="4.7109375" customWidth="1"/>
    <col min="6409" max="6409" width="10.28515625" customWidth="1"/>
    <col min="6410" max="6410" width="5" customWidth="1"/>
    <col min="6411" max="6411" width="11.7109375" customWidth="1"/>
    <col min="6657" max="6657" width="8" customWidth="1"/>
    <col min="6658" max="6658" width="16" customWidth="1"/>
    <col min="6661" max="6661" width="10.42578125" customWidth="1"/>
    <col min="6663" max="6663" width="13" customWidth="1"/>
    <col min="6664" max="6664" width="4.7109375" customWidth="1"/>
    <col min="6665" max="6665" width="10.28515625" customWidth="1"/>
    <col min="6666" max="6666" width="5" customWidth="1"/>
    <col min="6667" max="6667" width="11.7109375" customWidth="1"/>
    <col min="6913" max="6913" width="8" customWidth="1"/>
    <col min="6914" max="6914" width="16" customWidth="1"/>
    <col min="6917" max="6917" width="10.42578125" customWidth="1"/>
    <col min="6919" max="6919" width="13" customWidth="1"/>
    <col min="6920" max="6920" width="4.7109375" customWidth="1"/>
    <col min="6921" max="6921" width="10.28515625" customWidth="1"/>
    <col min="6922" max="6922" width="5" customWidth="1"/>
    <col min="6923" max="6923" width="11.7109375" customWidth="1"/>
    <col min="7169" max="7169" width="8" customWidth="1"/>
    <col min="7170" max="7170" width="16" customWidth="1"/>
    <col min="7173" max="7173" width="10.42578125" customWidth="1"/>
    <col min="7175" max="7175" width="13" customWidth="1"/>
    <col min="7176" max="7176" width="4.7109375" customWidth="1"/>
    <col min="7177" max="7177" width="10.28515625" customWidth="1"/>
    <col min="7178" max="7178" width="5" customWidth="1"/>
    <col min="7179" max="7179" width="11.7109375" customWidth="1"/>
    <col min="7425" max="7425" width="8" customWidth="1"/>
    <col min="7426" max="7426" width="16" customWidth="1"/>
    <col min="7429" max="7429" width="10.42578125" customWidth="1"/>
    <col min="7431" max="7431" width="13" customWidth="1"/>
    <col min="7432" max="7432" width="4.7109375" customWidth="1"/>
    <col min="7433" max="7433" width="10.28515625" customWidth="1"/>
    <col min="7434" max="7434" width="5" customWidth="1"/>
    <col min="7435" max="7435" width="11.7109375" customWidth="1"/>
    <col min="7681" max="7681" width="8" customWidth="1"/>
    <col min="7682" max="7682" width="16" customWidth="1"/>
    <col min="7685" max="7685" width="10.42578125" customWidth="1"/>
    <col min="7687" max="7687" width="13" customWidth="1"/>
    <col min="7688" max="7688" width="4.7109375" customWidth="1"/>
    <col min="7689" max="7689" width="10.28515625" customWidth="1"/>
    <col min="7690" max="7690" width="5" customWidth="1"/>
    <col min="7691" max="7691" width="11.7109375" customWidth="1"/>
    <col min="7937" max="7937" width="8" customWidth="1"/>
    <col min="7938" max="7938" width="16" customWidth="1"/>
    <col min="7941" max="7941" width="10.42578125" customWidth="1"/>
    <col min="7943" max="7943" width="13" customWidth="1"/>
    <col min="7944" max="7944" width="4.7109375" customWidth="1"/>
    <col min="7945" max="7945" width="10.28515625" customWidth="1"/>
    <col min="7946" max="7946" width="5" customWidth="1"/>
    <col min="7947" max="7947" width="11.7109375" customWidth="1"/>
    <col min="8193" max="8193" width="8" customWidth="1"/>
    <col min="8194" max="8194" width="16" customWidth="1"/>
    <col min="8197" max="8197" width="10.42578125" customWidth="1"/>
    <col min="8199" max="8199" width="13" customWidth="1"/>
    <col min="8200" max="8200" width="4.7109375" customWidth="1"/>
    <col min="8201" max="8201" width="10.28515625" customWidth="1"/>
    <col min="8202" max="8202" width="5" customWidth="1"/>
    <col min="8203" max="8203" width="11.7109375" customWidth="1"/>
    <col min="8449" max="8449" width="8" customWidth="1"/>
    <col min="8450" max="8450" width="16" customWidth="1"/>
    <col min="8453" max="8453" width="10.42578125" customWidth="1"/>
    <col min="8455" max="8455" width="13" customWidth="1"/>
    <col min="8456" max="8456" width="4.7109375" customWidth="1"/>
    <col min="8457" max="8457" width="10.28515625" customWidth="1"/>
    <col min="8458" max="8458" width="5" customWidth="1"/>
    <col min="8459" max="8459" width="11.7109375" customWidth="1"/>
    <col min="8705" max="8705" width="8" customWidth="1"/>
    <col min="8706" max="8706" width="16" customWidth="1"/>
    <col min="8709" max="8709" width="10.42578125" customWidth="1"/>
    <col min="8711" max="8711" width="13" customWidth="1"/>
    <col min="8712" max="8712" width="4.7109375" customWidth="1"/>
    <col min="8713" max="8713" width="10.28515625" customWidth="1"/>
    <col min="8714" max="8714" width="5" customWidth="1"/>
    <col min="8715" max="8715" width="11.7109375" customWidth="1"/>
    <col min="8961" max="8961" width="8" customWidth="1"/>
    <col min="8962" max="8962" width="16" customWidth="1"/>
    <col min="8965" max="8965" width="10.42578125" customWidth="1"/>
    <col min="8967" max="8967" width="13" customWidth="1"/>
    <col min="8968" max="8968" width="4.7109375" customWidth="1"/>
    <col min="8969" max="8969" width="10.28515625" customWidth="1"/>
    <col min="8970" max="8970" width="5" customWidth="1"/>
    <col min="8971" max="8971" width="11.7109375" customWidth="1"/>
    <col min="9217" max="9217" width="8" customWidth="1"/>
    <col min="9218" max="9218" width="16" customWidth="1"/>
    <col min="9221" max="9221" width="10.42578125" customWidth="1"/>
    <col min="9223" max="9223" width="13" customWidth="1"/>
    <col min="9224" max="9224" width="4.7109375" customWidth="1"/>
    <col min="9225" max="9225" width="10.28515625" customWidth="1"/>
    <col min="9226" max="9226" width="5" customWidth="1"/>
    <col min="9227" max="9227" width="11.7109375" customWidth="1"/>
    <col min="9473" max="9473" width="8" customWidth="1"/>
    <col min="9474" max="9474" width="16" customWidth="1"/>
    <col min="9477" max="9477" width="10.42578125" customWidth="1"/>
    <col min="9479" max="9479" width="13" customWidth="1"/>
    <col min="9480" max="9480" width="4.7109375" customWidth="1"/>
    <col min="9481" max="9481" width="10.28515625" customWidth="1"/>
    <col min="9482" max="9482" width="5" customWidth="1"/>
    <col min="9483" max="9483" width="11.7109375" customWidth="1"/>
    <col min="9729" max="9729" width="8" customWidth="1"/>
    <col min="9730" max="9730" width="16" customWidth="1"/>
    <col min="9733" max="9733" width="10.42578125" customWidth="1"/>
    <col min="9735" max="9735" width="13" customWidth="1"/>
    <col min="9736" max="9736" width="4.7109375" customWidth="1"/>
    <col min="9737" max="9737" width="10.28515625" customWidth="1"/>
    <col min="9738" max="9738" width="5" customWidth="1"/>
    <col min="9739" max="9739" width="11.7109375" customWidth="1"/>
    <col min="9985" max="9985" width="8" customWidth="1"/>
    <col min="9986" max="9986" width="16" customWidth="1"/>
    <col min="9989" max="9989" width="10.42578125" customWidth="1"/>
    <col min="9991" max="9991" width="13" customWidth="1"/>
    <col min="9992" max="9992" width="4.7109375" customWidth="1"/>
    <col min="9993" max="9993" width="10.28515625" customWidth="1"/>
    <col min="9994" max="9994" width="5" customWidth="1"/>
    <col min="9995" max="9995" width="11.7109375" customWidth="1"/>
    <col min="10241" max="10241" width="8" customWidth="1"/>
    <col min="10242" max="10242" width="16" customWidth="1"/>
    <col min="10245" max="10245" width="10.42578125" customWidth="1"/>
    <col min="10247" max="10247" width="13" customWidth="1"/>
    <col min="10248" max="10248" width="4.7109375" customWidth="1"/>
    <col min="10249" max="10249" width="10.28515625" customWidth="1"/>
    <col min="10250" max="10250" width="5" customWidth="1"/>
    <col min="10251" max="10251" width="11.7109375" customWidth="1"/>
    <col min="10497" max="10497" width="8" customWidth="1"/>
    <col min="10498" max="10498" width="16" customWidth="1"/>
    <col min="10501" max="10501" width="10.42578125" customWidth="1"/>
    <col min="10503" max="10503" width="13" customWidth="1"/>
    <col min="10504" max="10504" width="4.7109375" customWidth="1"/>
    <col min="10505" max="10505" width="10.28515625" customWidth="1"/>
    <col min="10506" max="10506" width="5" customWidth="1"/>
    <col min="10507" max="10507" width="11.7109375" customWidth="1"/>
    <col min="10753" max="10753" width="8" customWidth="1"/>
    <col min="10754" max="10754" width="16" customWidth="1"/>
    <col min="10757" max="10757" width="10.42578125" customWidth="1"/>
    <col min="10759" max="10759" width="13" customWidth="1"/>
    <col min="10760" max="10760" width="4.7109375" customWidth="1"/>
    <col min="10761" max="10761" width="10.28515625" customWidth="1"/>
    <col min="10762" max="10762" width="5" customWidth="1"/>
    <col min="10763" max="10763" width="11.7109375" customWidth="1"/>
    <col min="11009" max="11009" width="8" customWidth="1"/>
    <col min="11010" max="11010" width="16" customWidth="1"/>
    <col min="11013" max="11013" width="10.42578125" customWidth="1"/>
    <col min="11015" max="11015" width="13" customWidth="1"/>
    <col min="11016" max="11016" width="4.7109375" customWidth="1"/>
    <col min="11017" max="11017" width="10.28515625" customWidth="1"/>
    <col min="11018" max="11018" width="5" customWidth="1"/>
    <col min="11019" max="11019" width="11.7109375" customWidth="1"/>
    <col min="11265" max="11265" width="8" customWidth="1"/>
    <col min="11266" max="11266" width="16" customWidth="1"/>
    <col min="11269" max="11269" width="10.42578125" customWidth="1"/>
    <col min="11271" max="11271" width="13" customWidth="1"/>
    <col min="11272" max="11272" width="4.7109375" customWidth="1"/>
    <col min="11273" max="11273" width="10.28515625" customWidth="1"/>
    <col min="11274" max="11274" width="5" customWidth="1"/>
    <col min="11275" max="11275" width="11.7109375" customWidth="1"/>
    <col min="11521" max="11521" width="8" customWidth="1"/>
    <col min="11522" max="11522" width="16" customWidth="1"/>
    <col min="11525" max="11525" width="10.42578125" customWidth="1"/>
    <col min="11527" max="11527" width="13" customWidth="1"/>
    <col min="11528" max="11528" width="4.7109375" customWidth="1"/>
    <col min="11529" max="11529" width="10.28515625" customWidth="1"/>
    <col min="11530" max="11530" width="5" customWidth="1"/>
    <col min="11531" max="11531" width="11.7109375" customWidth="1"/>
    <col min="11777" max="11777" width="8" customWidth="1"/>
    <col min="11778" max="11778" width="16" customWidth="1"/>
    <col min="11781" max="11781" width="10.42578125" customWidth="1"/>
    <col min="11783" max="11783" width="13" customWidth="1"/>
    <col min="11784" max="11784" width="4.7109375" customWidth="1"/>
    <col min="11785" max="11785" width="10.28515625" customWidth="1"/>
    <col min="11786" max="11786" width="5" customWidth="1"/>
    <col min="11787" max="11787" width="11.7109375" customWidth="1"/>
    <col min="12033" max="12033" width="8" customWidth="1"/>
    <col min="12034" max="12034" width="16" customWidth="1"/>
    <col min="12037" max="12037" width="10.42578125" customWidth="1"/>
    <col min="12039" max="12039" width="13" customWidth="1"/>
    <col min="12040" max="12040" width="4.7109375" customWidth="1"/>
    <col min="12041" max="12041" width="10.28515625" customWidth="1"/>
    <col min="12042" max="12042" width="5" customWidth="1"/>
    <col min="12043" max="12043" width="11.7109375" customWidth="1"/>
    <col min="12289" max="12289" width="8" customWidth="1"/>
    <col min="12290" max="12290" width="16" customWidth="1"/>
    <col min="12293" max="12293" width="10.42578125" customWidth="1"/>
    <col min="12295" max="12295" width="13" customWidth="1"/>
    <col min="12296" max="12296" width="4.7109375" customWidth="1"/>
    <col min="12297" max="12297" width="10.28515625" customWidth="1"/>
    <col min="12298" max="12298" width="5" customWidth="1"/>
    <col min="12299" max="12299" width="11.7109375" customWidth="1"/>
    <col min="12545" max="12545" width="8" customWidth="1"/>
    <col min="12546" max="12546" width="16" customWidth="1"/>
    <col min="12549" max="12549" width="10.42578125" customWidth="1"/>
    <col min="12551" max="12551" width="13" customWidth="1"/>
    <col min="12552" max="12552" width="4.7109375" customWidth="1"/>
    <col min="12553" max="12553" width="10.28515625" customWidth="1"/>
    <col min="12554" max="12554" width="5" customWidth="1"/>
    <col min="12555" max="12555" width="11.7109375" customWidth="1"/>
    <col min="12801" max="12801" width="8" customWidth="1"/>
    <col min="12802" max="12802" width="16" customWidth="1"/>
    <col min="12805" max="12805" width="10.42578125" customWidth="1"/>
    <col min="12807" max="12807" width="13" customWidth="1"/>
    <col min="12808" max="12808" width="4.7109375" customWidth="1"/>
    <col min="12809" max="12809" width="10.28515625" customWidth="1"/>
    <col min="12810" max="12810" width="5" customWidth="1"/>
    <col min="12811" max="12811" width="11.7109375" customWidth="1"/>
    <col min="13057" max="13057" width="8" customWidth="1"/>
    <col min="13058" max="13058" width="16" customWidth="1"/>
    <col min="13061" max="13061" width="10.42578125" customWidth="1"/>
    <col min="13063" max="13063" width="13" customWidth="1"/>
    <col min="13064" max="13064" width="4.7109375" customWidth="1"/>
    <col min="13065" max="13065" width="10.28515625" customWidth="1"/>
    <col min="13066" max="13066" width="5" customWidth="1"/>
    <col min="13067" max="13067" width="11.7109375" customWidth="1"/>
    <col min="13313" max="13313" width="8" customWidth="1"/>
    <col min="13314" max="13314" width="16" customWidth="1"/>
    <col min="13317" max="13317" width="10.42578125" customWidth="1"/>
    <col min="13319" max="13319" width="13" customWidth="1"/>
    <col min="13320" max="13320" width="4.7109375" customWidth="1"/>
    <col min="13321" max="13321" width="10.28515625" customWidth="1"/>
    <col min="13322" max="13322" width="5" customWidth="1"/>
    <col min="13323" max="13323" width="11.7109375" customWidth="1"/>
    <col min="13569" max="13569" width="8" customWidth="1"/>
    <col min="13570" max="13570" width="16" customWidth="1"/>
    <col min="13573" max="13573" width="10.42578125" customWidth="1"/>
    <col min="13575" max="13575" width="13" customWidth="1"/>
    <col min="13576" max="13576" width="4.7109375" customWidth="1"/>
    <col min="13577" max="13577" width="10.28515625" customWidth="1"/>
    <col min="13578" max="13578" width="5" customWidth="1"/>
    <col min="13579" max="13579" width="11.7109375" customWidth="1"/>
    <col min="13825" max="13825" width="8" customWidth="1"/>
    <col min="13826" max="13826" width="16" customWidth="1"/>
    <col min="13829" max="13829" width="10.42578125" customWidth="1"/>
    <col min="13831" max="13831" width="13" customWidth="1"/>
    <col min="13832" max="13832" width="4.7109375" customWidth="1"/>
    <col min="13833" max="13833" width="10.28515625" customWidth="1"/>
    <col min="13834" max="13834" width="5" customWidth="1"/>
    <col min="13835" max="13835" width="11.7109375" customWidth="1"/>
    <col min="14081" max="14081" width="8" customWidth="1"/>
    <col min="14082" max="14082" width="16" customWidth="1"/>
    <col min="14085" max="14085" width="10.42578125" customWidth="1"/>
    <col min="14087" max="14087" width="13" customWidth="1"/>
    <col min="14088" max="14088" width="4.7109375" customWidth="1"/>
    <col min="14089" max="14089" width="10.28515625" customWidth="1"/>
    <col min="14090" max="14090" width="5" customWidth="1"/>
    <col min="14091" max="14091" width="11.7109375" customWidth="1"/>
    <col min="14337" max="14337" width="8" customWidth="1"/>
    <col min="14338" max="14338" width="16" customWidth="1"/>
    <col min="14341" max="14341" width="10.42578125" customWidth="1"/>
    <col min="14343" max="14343" width="13" customWidth="1"/>
    <col min="14344" max="14344" width="4.7109375" customWidth="1"/>
    <col min="14345" max="14345" width="10.28515625" customWidth="1"/>
    <col min="14346" max="14346" width="5" customWidth="1"/>
    <col min="14347" max="14347" width="11.7109375" customWidth="1"/>
    <col min="14593" max="14593" width="8" customWidth="1"/>
    <col min="14594" max="14594" width="16" customWidth="1"/>
    <col min="14597" max="14597" width="10.42578125" customWidth="1"/>
    <col min="14599" max="14599" width="13" customWidth="1"/>
    <col min="14600" max="14600" width="4.7109375" customWidth="1"/>
    <col min="14601" max="14601" width="10.28515625" customWidth="1"/>
    <col min="14602" max="14602" width="5" customWidth="1"/>
    <col min="14603" max="14603" width="11.7109375" customWidth="1"/>
    <col min="14849" max="14849" width="8" customWidth="1"/>
    <col min="14850" max="14850" width="16" customWidth="1"/>
    <col min="14853" max="14853" width="10.42578125" customWidth="1"/>
    <col min="14855" max="14855" width="13" customWidth="1"/>
    <col min="14856" max="14856" width="4.7109375" customWidth="1"/>
    <col min="14857" max="14857" width="10.28515625" customWidth="1"/>
    <col min="14858" max="14858" width="5" customWidth="1"/>
    <col min="14859" max="14859" width="11.7109375" customWidth="1"/>
    <col min="15105" max="15105" width="8" customWidth="1"/>
    <col min="15106" max="15106" width="16" customWidth="1"/>
    <col min="15109" max="15109" width="10.42578125" customWidth="1"/>
    <col min="15111" max="15111" width="13" customWidth="1"/>
    <col min="15112" max="15112" width="4.7109375" customWidth="1"/>
    <col min="15113" max="15113" width="10.28515625" customWidth="1"/>
    <col min="15114" max="15114" width="5" customWidth="1"/>
    <col min="15115" max="15115" width="11.7109375" customWidth="1"/>
    <col min="15361" max="15361" width="8" customWidth="1"/>
    <col min="15362" max="15362" width="16" customWidth="1"/>
    <col min="15365" max="15365" width="10.42578125" customWidth="1"/>
    <col min="15367" max="15367" width="13" customWidth="1"/>
    <col min="15368" max="15368" width="4.7109375" customWidth="1"/>
    <col min="15369" max="15369" width="10.28515625" customWidth="1"/>
    <col min="15370" max="15370" width="5" customWidth="1"/>
    <col min="15371" max="15371" width="11.7109375" customWidth="1"/>
    <col min="15617" max="15617" width="8" customWidth="1"/>
    <col min="15618" max="15618" width="16" customWidth="1"/>
    <col min="15621" max="15621" width="10.42578125" customWidth="1"/>
    <col min="15623" max="15623" width="13" customWidth="1"/>
    <col min="15624" max="15624" width="4.7109375" customWidth="1"/>
    <col min="15625" max="15625" width="10.28515625" customWidth="1"/>
    <col min="15626" max="15626" width="5" customWidth="1"/>
    <col min="15627" max="15627" width="11.7109375" customWidth="1"/>
    <col min="15873" max="15873" width="8" customWidth="1"/>
    <col min="15874" max="15874" width="16" customWidth="1"/>
    <col min="15877" max="15877" width="10.42578125" customWidth="1"/>
    <col min="15879" max="15879" width="13" customWidth="1"/>
    <col min="15880" max="15880" width="4.7109375" customWidth="1"/>
    <col min="15881" max="15881" width="10.28515625" customWidth="1"/>
    <col min="15882" max="15882" width="5" customWidth="1"/>
    <col min="15883" max="15883" width="11.7109375" customWidth="1"/>
    <col min="16129" max="16129" width="8" customWidth="1"/>
    <col min="16130" max="16130" width="16" customWidth="1"/>
    <col min="16133" max="16133" width="10.42578125" customWidth="1"/>
    <col min="16135" max="16135" width="13" customWidth="1"/>
    <col min="16136" max="16136" width="4.7109375" customWidth="1"/>
    <col min="16137" max="16137" width="10.28515625" customWidth="1"/>
    <col min="16138" max="16138" width="5" customWidth="1"/>
    <col min="16139" max="16139" width="11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3"/>
      <c r="I1" s="3"/>
      <c r="J1" s="3"/>
      <c r="K1" s="1"/>
      <c r="L1" s="1"/>
      <c r="M1" s="1"/>
      <c r="N1" s="1"/>
      <c r="O1" s="1"/>
      <c r="P1" s="1"/>
      <c r="Q1" s="1"/>
      <c r="R1" s="1"/>
    </row>
    <row r="2" spans="1:18" ht="18" x14ac:dyDescent="0.25">
      <c r="A2" s="1"/>
      <c r="B2" s="1"/>
      <c r="C2" s="1"/>
      <c r="D2" s="1"/>
      <c r="E2" s="19" t="s">
        <v>91</v>
      </c>
      <c r="F2" s="1"/>
      <c r="G2" s="1"/>
      <c r="H2" s="3"/>
      <c r="I2" s="3"/>
      <c r="J2" s="3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 t="s">
        <v>244</v>
      </c>
      <c r="B3" s="1"/>
      <c r="C3" s="1"/>
      <c r="D3" s="1"/>
      <c r="E3" s="1"/>
      <c r="F3" s="1"/>
      <c r="G3" s="1"/>
      <c r="H3" s="3"/>
      <c r="I3" s="3"/>
      <c r="J3" s="3"/>
      <c r="K3" s="1"/>
      <c r="L3" s="1"/>
      <c r="M3" s="1"/>
      <c r="N3" s="1"/>
      <c r="O3" s="1"/>
      <c r="P3" s="1"/>
      <c r="Q3" s="1"/>
      <c r="R3" s="1"/>
    </row>
    <row r="4" spans="1:18" ht="14.45" customHeight="1" x14ac:dyDescent="0.25">
      <c r="A4" s="1"/>
      <c r="B4" s="1"/>
      <c r="C4" s="584" t="s">
        <v>126</v>
      </c>
      <c r="D4" s="584"/>
      <c r="E4" s="584"/>
      <c r="F4" s="584"/>
      <c r="G4" s="584"/>
      <c r="H4" s="584"/>
      <c r="I4" s="584"/>
      <c r="J4" s="584"/>
      <c r="K4" s="584"/>
      <c r="L4" s="60"/>
      <c r="M4" s="60"/>
      <c r="N4" s="60"/>
      <c r="O4" s="60"/>
      <c r="P4" s="60"/>
      <c r="Q4" s="1"/>
      <c r="R4" s="1"/>
    </row>
    <row r="5" spans="1:18" ht="18" customHeight="1" x14ac:dyDescent="0.25">
      <c r="A5" s="1"/>
      <c r="B5" s="1"/>
      <c r="C5" s="584"/>
      <c r="D5" s="584"/>
      <c r="E5" s="584"/>
      <c r="F5" s="584"/>
      <c r="G5" s="584"/>
      <c r="H5" s="584"/>
      <c r="I5" s="584"/>
      <c r="J5" s="584"/>
      <c r="K5" s="584"/>
      <c r="L5" s="60"/>
      <c r="M5" s="60"/>
      <c r="N5" s="60"/>
      <c r="O5" s="60"/>
      <c r="P5" s="60"/>
      <c r="Q5" s="1"/>
      <c r="R5" s="1"/>
    </row>
    <row r="6" spans="1:18" ht="14.45" customHeight="1" x14ac:dyDescent="0.25">
      <c r="A6" s="1"/>
      <c r="B6" s="1"/>
      <c r="C6" s="584"/>
      <c r="D6" s="584"/>
      <c r="E6" s="584"/>
      <c r="F6" s="584"/>
      <c r="G6" s="584"/>
      <c r="H6" s="584"/>
      <c r="I6" s="584"/>
      <c r="J6" s="584"/>
      <c r="K6" s="584"/>
      <c r="L6" s="60"/>
      <c r="M6" s="60"/>
      <c r="N6" s="60"/>
      <c r="O6" s="60"/>
      <c r="P6" s="60"/>
      <c r="Q6" s="1"/>
      <c r="R6" s="1"/>
    </row>
    <row r="7" spans="1:18" ht="14.45" customHeight="1" x14ac:dyDescent="0.25">
      <c r="A7" s="1"/>
      <c r="B7" s="1"/>
      <c r="C7" s="584"/>
      <c r="D7" s="584"/>
      <c r="E7" s="584"/>
      <c r="F7" s="584"/>
      <c r="G7" s="584"/>
      <c r="H7" s="584"/>
      <c r="I7" s="584"/>
      <c r="J7" s="584"/>
      <c r="K7" s="584"/>
      <c r="L7" s="60"/>
      <c r="M7" s="60"/>
      <c r="N7" s="60"/>
      <c r="O7" s="60"/>
      <c r="P7" s="60"/>
      <c r="Q7" s="1"/>
      <c r="R7" s="1"/>
    </row>
    <row r="8" spans="1:18" ht="15.75" thickBot="1" x14ac:dyDescent="0.3">
      <c r="A8" s="1"/>
      <c r="B8" s="6" t="s">
        <v>0</v>
      </c>
      <c r="D8" s="6"/>
      <c r="E8" s="6" t="s">
        <v>8</v>
      </c>
      <c r="F8" s="1"/>
      <c r="H8" s="2"/>
      <c r="I8" s="5" t="s">
        <v>9</v>
      </c>
      <c r="J8" s="1"/>
      <c r="K8" s="1"/>
      <c r="L8" s="1"/>
      <c r="M8" s="1"/>
      <c r="N8" s="1"/>
      <c r="O8" s="1"/>
      <c r="P8" s="1"/>
      <c r="Q8" s="1"/>
      <c r="R8" s="1"/>
    </row>
    <row r="9" spans="1:18" ht="15.75" thickBot="1" x14ac:dyDescent="0.3">
      <c r="A9" s="1"/>
      <c r="B9" s="585">
        <f>Accueil!C11</f>
        <v>0</v>
      </c>
      <c r="C9" s="586"/>
      <c r="E9" s="585">
        <f>'Consommation 2019'!H5</f>
        <v>0</v>
      </c>
      <c r="F9" s="586"/>
      <c r="H9" s="585">
        <f>Accueil!F9</f>
        <v>0</v>
      </c>
      <c r="I9" s="587"/>
      <c r="J9" s="586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 t="s">
        <v>3</v>
      </c>
      <c r="D11" s="2"/>
      <c r="E11" s="1"/>
      <c r="F11" s="1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thickBot="1" x14ac:dyDescent="0.3">
      <c r="A12" s="1"/>
      <c r="B12" s="1"/>
      <c r="C12" s="1"/>
      <c r="D12" s="2"/>
      <c r="F12" s="1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</row>
    <row r="13" spans="1:18" s="63" customFormat="1" ht="15.75" thickBot="1" x14ac:dyDescent="0.3">
      <c r="D13" s="224">
        <v>12</v>
      </c>
      <c r="E13" s="64" t="s">
        <v>13</v>
      </c>
      <c r="H13" s="65"/>
      <c r="I13" s="65"/>
    </row>
    <row r="14" spans="1:18" x14ac:dyDescent="0.25">
      <c r="A14" s="1"/>
      <c r="B14" s="6"/>
      <c r="C14" s="6"/>
      <c r="D14" s="6"/>
      <c r="E14" s="1"/>
      <c r="F14" s="1"/>
      <c r="G14" s="2"/>
      <c r="H14" s="2"/>
      <c r="I14" s="2"/>
      <c r="J14" s="1"/>
      <c r="L14" s="1"/>
      <c r="M14" s="1"/>
      <c r="N14" s="1"/>
      <c r="O14" s="9"/>
      <c r="P14" s="1"/>
      <c r="Q14" s="1"/>
      <c r="R14" s="23"/>
    </row>
    <row r="15" spans="1:18" ht="15.75" thickBot="1" x14ac:dyDescent="0.3">
      <c r="A15" s="1"/>
      <c r="B15" s="1"/>
      <c r="C15" s="1"/>
      <c r="D15" s="1"/>
      <c r="E15" s="1"/>
      <c r="F15" s="1"/>
      <c r="G15" s="2"/>
      <c r="H15" s="18"/>
      <c r="I15" s="5"/>
      <c r="J15" s="24" t="s">
        <v>12</v>
      </c>
      <c r="K15" s="2"/>
      <c r="L15" s="1"/>
      <c r="M15" s="1"/>
      <c r="N15" s="1"/>
      <c r="O15" s="25"/>
      <c r="P15" s="1"/>
      <c r="Q15" s="1"/>
      <c r="R15" s="23"/>
    </row>
    <row r="16" spans="1:18" ht="15.75" thickBot="1" x14ac:dyDescent="0.3">
      <c r="A16" s="1"/>
      <c r="B16" s="20" t="s">
        <v>10</v>
      </c>
      <c r="C16" s="21"/>
      <c r="D16" s="21"/>
      <c r="E16" s="22"/>
      <c r="F16" s="1"/>
      <c r="G16" s="2"/>
      <c r="H16" s="2"/>
      <c r="I16" s="2"/>
      <c r="J16" s="1"/>
      <c r="K16" s="5" t="s">
        <v>34</v>
      </c>
      <c r="L16" s="1"/>
      <c r="M16" s="1"/>
      <c r="N16" s="1"/>
      <c r="O16" s="1"/>
      <c r="P16" s="1"/>
      <c r="Q16" s="1"/>
      <c r="R16" s="1"/>
    </row>
    <row r="17" spans="1:18" ht="15.75" thickBot="1" x14ac:dyDescent="0.3">
      <c r="A17" s="1"/>
      <c r="B17" s="1"/>
      <c r="C17" s="1"/>
      <c r="D17" s="1"/>
      <c r="E17" s="1"/>
      <c r="F17" s="1"/>
      <c r="G17" s="2"/>
      <c r="H17" s="2"/>
      <c r="I17" s="5"/>
      <c r="J17" s="24"/>
      <c r="K17" s="5" t="s">
        <v>11</v>
      </c>
      <c r="L17" s="1"/>
      <c r="M17" s="1"/>
      <c r="N17" s="1"/>
      <c r="O17" s="55"/>
      <c r="P17" s="1"/>
      <c r="Q17" s="26">
        <v>12</v>
      </c>
      <c r="R17" s="23"/>
    </row>
    <row r="18" spans="1:18" ht="15.75" thickBot="1" x14ac:dyDescent="0.3">
      <c r="A18" s="1"/>
      <c r="B18" s="1"/>
      <c r="C18" s="1"/>
      <c r="D18" s="27" t="s">
        <v>14</v>
      </c>
      <c r="E18" s="27" t="s">
        <v>15</v>
      </c>
      <c r="F18" s="27" t="s">
        <v>16</v>
      </c>
      <c r="G18" s="27" t="s">
        <v>17</v>
      </c>
      <c r="H18" s="28"/>
      <c r="I18" s="5"/>
      <c r="J18" s="24"/>
      <c r="K18" s="2"/>
      <c r="L18" s="1"/>
      <c r="M18" s="1"/>
      <c r="N18" s="1"/>
      <c r="O18" s="56"/>
      <c r="P18" s="1"/>
      <c r="Q18" s="1"/>
      <c r="R18" s="23"/>
    </row>
    <row r="19" spans="1:18" s="31" customFormat="1" ht="15.75" thickBot="1" x14ac:dyDescent="0.3">
      <c r="A19" s="29"/>
      <c r="B19" s="17"/>
      <c r="C19" s="30"/>
      <c r="D19" s="17"/>
      <c r="E19" s="13"/>
      <c r="F19" s="17"/>
      <c r="G19" s="17"/>
      <c r="H19" s="17"/>
      <c r="I19" s="17"/>
      <c r="J19" s="17"/>
      <c r="K19" s="13"/>
      <c r="L19" s="17"/>
      <c r="M19" s="17"/>
      <c r="N19" s="17"/>
      <c r="O19" s="54"/>
      <c r="P19" s="17"/>
      <c r="Q19" s="17"/>
      <c r="R19" s="26"/>
    </row>
    <row r="20" spans="1:18" s="31" customFormat="1" ht="14.25" customHeight="1" thickBot="1" x14ac:dyDescent="0.3">
      <c r="A20" s="17"/>
      <c r="B20" s="17" t="s">
        <v>18</v>
      </c>
      <c r="D20" s="224"/>
      <c r="E20" s="32">
        <v>1</v>
      </c>
      <c r="F20" s="33">
        <f>E20*D20</f>
        <v>0</v>
      </c>
      <c r="G20" s="224"/>
      <c r="H20" s="26">
        <v>130</v>
      </c>
      <c r="I20" s="17"/>
      <c r="J20" s="34" t="s">
        <v>4</v>
      </c>
      <c r="K20" s="11">
        <f>(G20*$D$13*F20)/1000</f>
        <v>0</v>
      </c>
      <c r="L20" s="1" t="s">
        <v>19</v>
      </c>
      <c r="M20" s="17"/>
      <c r="N20" s="17"/>
      <c r="O20" s="18"/>
      <c r="P20" s="17"/>
      <c r="Q20" s="17"/>
      <c r="R20" s="26">
        <v>0</v>
      </c>
    </row>
    <row r="21" spans="1:18" s="31" customFormat="1" ht="14.25" customHeight="1" thickBot="1" x14ac:dyDescent="0.3">
      <c r="A21" s="17"/>
      <c r="B21" s="17"/>
      <c r="C21" s="17"/>
      <c r="D21" s="17"/>
      <c r="E21" s="17"/>
      <c r="F21" s="35"/>
      <c r="G21" s="17"/>
      <c r="H21" s="17"/>
      <c r="I21" s="17"/>
      <c r="J21" s="17"/>
      <c r="K21" s="17" t="s">
        <v>12</v>
      </c>
      <c r="L21" s="17"/>
      <c r="M21" s="17"/>
      <c r="N21" s="17"/>
      <c r="O21" s="57"/>
      <c r="P21" s="17"/>
      <c r="Q21" s="17"/>
      <c r="R21" s="26"/>
    </row>
    <row r="22" spans="1:18" s="31" customFormat="1" ht="14.25" customHeight="1" thickBot="1" x14ac:dyDescent="0.3">
      <c r="A22" s="17"/>
      <c r="B22" s="1" t="s">
        <v>20</v>
      </c>
      <c r="C22" s="1"/>
      <c r="D22" s="225"/>
      <c r="E22" s="32">
        <v>0.3</v>
      </c>
      <c r="F22" s="33">
        <f>E22*D22</f>
        <v>0</v>
      </c>
      <c r="G22" s="225"/>
      <c r="H22" s="26">
        <v>130</v>
      </c>
      <c r="I22" s="2"/>
      <c r="J22" s="34" t="s">
        <v>4</v>
      </c>
      <c r="K22" s="11">
        <f>(G22*$D$13*F22)/1000</f>
        <v>0</v>
      </c>
      <c r="L22" s="1" t="s">
        <v>19</v>
      </c>
      <c r="M22" s="1"/>
      <c r="N22" s="1"/>
      <c r="O22" s="58"/>
      <c r="P22" s="1"/>
      <c r="Q22" s="1"/>
      <c r="R22" s="26">
        <v>0</v>
      </c>
    </row>
    <row r="23" spans="1:18" s="31" customFormat="1" ht="14.25" customHeight="1" thickBot="1" x14ac:dyDescent="0.3">
      <c r="A23" s="17"/>
      <c r="B23" s="1" t="s">
        <v>21</v>
      </c>
      <c r="C23" s="1"/>
      <c r="D23" s="225"/>
      <c r="E23" s="32">
        <v>0.6</v>
      </c>
      <c r="F23" s="33">
        <f>E23*D23</f>
        <v>0</v>
      </c>
      <c r="G23" s="225"/>
      <c r="H23" s="26">
        <v>130</v>
      </c>
      <c r="I23" s="2"/>
      <c r="J23" s="34" t="s">
        <v>4</v>
      </c>
      <c r="K23" s="11">
        <f>(G23*$D$13*F23)/1000</f>
        <v>0</v>
      </c>
      <c r="L23" s="1" t="s">
        <v>19</v>
      </c>
      <c r="M23" s="1"/>
      <c r="N23" s="1"/>
      <c r="O23" s="58"/>
      <c r="P23" s="1"/>
      <c r="Q23" s="1"/>
      <c r="R23" s="26">
        <v>0</v>
      </c>
    </row>
    <row r="24" spans="1:18" s="31" customFormat="1" ht="14.25" customHeight="1" thickBot="1" x14ac:dyDescent="0.3">
      <c r="A24" s="17"/>
      <c r="B24" s="1" t="s">
        <v>22</v>
      </c>
      <c r="C24" s="1"/>
      <c r="D24" s="225"/>
      <c r="E24" s="32">
        <v>0.8</v>
      </c>
      <c r="F24" s="33">
        <f>E24*D24</f>
        <v>0</v>
      </c>
      <c r="G24" s="225"/>
      <c r="H24" s="26">
        <v>130</v>
      </c>
      <c r="I24" s="2"/>
      <c r="J24" s="34" t="s">
        <v>4</v>
      </c>
      <c r="K24" s="11">
        <f>(G24*$D$13*F24)/1000</f>
        <v>0</v>
      </c>
      <c r="L24" s="1" t="s">
        <v>19</v>
      </c>
      <c r="M24" s="1"/>
      <c r="N24" s="1"/>
      <c r="O24" s="58"/>
      <c r="P24" s="1"/>
      <c r="Q24" s="1"/>
      <c r="R24" s="26">
        <v>0</v>
      </c>
    </row>
    <row r="25" spans="1:18" s="31" customFormat="1" ht="14.25" customHeight="1" thickBot="1" x14ac:dyDescent="0.3">
      <c r="A25" s="17"/>
      <c r="B25" s="1"/>
      <c r="C25" s="1"/>
      <c r="D25" s="1"/>
      <c r="E25" s="36"/>
      <c r="F25" s="37"/>
      <c r="G25" s="1"/>
      <c r="H25" s="2"/>
      <c r="I25" s="2"/>
      <c r="J25" s="1"/>
      <c r="K25" s="1"/>
      <c r="L25" s="1"/>
      <c r="M25" s="1"/>
      <c r="N25" s="1"/>
      <c r="O25" s="55"/>
      <c r="P25" s="1"/>
      <c r="Q25" s="1"/>
      <c r="R25" s="26"/>
    </row>
    <row r="26" spans="1:18" s="31" customFormat="1" ht="14.25" customHeight="1" thickBot="1" x14ac:dyDescent="0.3">
      <c r="A26" s="17"/>
      <c r="B26" s="17" t="s">
        <v>23</v>
      </c>
      <c r="D26" s="224"/>
      <c r="E26" s="32">
        <v>0.8</v>
      </c>
      <c r="F26" s="33">
        <f>E26*D26</f>
        <v>0</v>
      </c>
      <c r="G26" s="224"/>
      <c r="H26" s="26">
        <v>130</v>
      </c>
      <c r="I26" s="17"/>
      <c r="J26" s="34" t="s">
        <v>4</v>
      </c>
      <c r="K26" s="11">
        <f>(G26*$D$13*F26)/1000</f>
        <v>0</v>
      </c>
      <c r="L26" s="1" t="s">
        <v>19</v>
      </c>
      <c r="M26" s="17"/>
      <c r="N26" s="17"/>
      <c r="O26" s="18"/>
      <c r="P26" s="17"/>
      <c r="Q26" s="17"/>
      <c r="R26" s="26">
        <v>0</v>
      </c>
    </row>
    <row r="27" spans="1:18" s="31" customFormat="1" ht="14.25" customHeight="1" thickBo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34"/>
      <c r="K27" s="12"/>
      <c r="L27" s="1"/>
      <c r="M27" s="17"/>
      <c r="N27" s="17"/>
      <c r="O27" s="55"/>
      <c r="P27" s="17"/>
      <c r="Q27" s="17"/>
      <c r="R27" s="26"/>
    </row>
    <row r="28" spans="1:18" s="31" customFormat="1" ht="14.25" customHeight="1" thickBot="1" x14ac:dyDescent="0.3">
      <c r="A28" s="17"/>
      <c r="B28" s="17"/>
      <c r="C28" s="17"/>
      <c r="D28" s="17"/>
      <c r="E28" s="38" t="s">
        <v>24</v>
      </c>
      <c r="F28" s="33">
        <f>SUM(F26,F24,F23,F22,F20)</f>
        <v>0</v>
      </c>
      <c r="G28" s="17"/>
      <c r="H28" s="17"/>
      <c r="I28" s="17"/>
      <c r="J28" s="39" t="s">
        <v>25</v>
      </c>
      <c r="K28" s="61">
        <f>SUM(K26,K24,K23,K22,K20)</f>
        <v>0</v>
      </c>
      <c r="L28" s="1" t="s">
        <v>19</v>
      </c>
      <c r="M28" s="17"/>
      <c r="N28" s="17"/>
      <c r="O28" s="55"/>
      <c r="P28" s="17"/>
      <c r="Q28" s="17"/>
      <c r="R28" s="26"/>
    </row>
    <row r="29" spans="1:18" s="31" customFormat="1" ht="14.25" customHeight="1" thickBo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34"/>
      <c r="K29" s="12"/>
      <c r="L29" s="17"/>
      <c r="M29" s="17"/>
      <c r="N29" s="17"/>
      <c r="O29" s="54"/>
      <c r="P29" s="17"/>
      <c r="Q29" s="17"/>
      <c r="R29" s="26"/>
    </row>
    <row r="30" spans="1:18" s="31" customFormat="1" ht="14.25" customHeight="1" thickBot="1" x14ac:dyDescent="0.3">
      <c r="A30" s="17"/>
      <c r="B30" s="40" t="s">
        <v>26</v>
      </c>
      <c r="C30" s="41"/>
      <c r="D30" s="42"/>
      <c r="E30" s="43"/>
      <c r="F30" s="62" t="s">
        <v>36</v>
      </c>
      <c r="G30" s="17"/>
      <c r="H30" s="17"/>
      <c r="I30" s="17"/>
      <c r="J30" s="34"/>
      <c r="K30" s="12"/>
      <c r="L30" s="17"/>
      <c r="M30" s="17"/>
      <c r="N30" s="17"/>
      <c r="O30" s="57"/>
      <c r="P30" s="17"/>
      <c r="Q30" s="17"/>
      <c r="R30" s="26"/>
    </row>
    <row r="31" spans="1:18" s="31" customFormat="1" ht="14.25" customHeight="1" thickBot="1" x14ac:dyDescent="0.3">
      <c r="A31" s="17"/>
      <c r="B31" s="45"/>
      <c r="C31" s="46"/>
      <c r="D31" s="47"/>
      <c r="E31" s="46"/>
      <c r="F31" s="44"/>
      <c r="G31" s="17"/>
      <c r="H31" s="17"/>
      <c r="I31" s="17"/>
      <c r="J31" s="34"/>
      <c r="K31" s="12"/>
      <c r="L31" s="17"/>
      <c r="M31" s="17"/>
      <c r="N31" s="17"/>
      <c r="O31" s="57"/>
      <c r="P31" s="17"/>
      <c r="Q31" s="17"/>
      <c r="R31" s="26"/>
    </row>
    <row r="32" spans="1:18" s="31" customFormat="1" ht="14.25" customHeight="1" thickBot="1" x14ac:dyDescent="0.25">
      <c r="A32" s="17"/>
      <c r="B32" s="45"/>
      <c r="C32" s="46"/>
      <c r="D32" s="27" t="s">
        <v>14</v>
      </c>
      <c r="E32" s="27" t="s">
        <v>15</v>
      </c>
      <c r="F32" s="27" t="s">
        <v>16</v>
      </c>
      <c r="G32" s="27" t="s">
        <v>17</v>
      </c>
      <c r="H32" s="17"/>
      <c r="I32" s="17"/>
      <c r="J32" s="34"/>
      <c r="K32" s="12"/>
      <c r="L32" s="17"/>
      <c r="M32" s="17"/>
      <c r="N32" s="17"/>
      <c r="O32" s="56"/>
      <c r="P32" s="17"/>
      <c r="Q32" s="17"/>
      <c r="R32" s="26"/>
    </row>
    <row r="33" spans="1:19" s="31" customFormat="1" ht="14.25" customHeight="1" thickBot="1" x14ac:dyDescent="0.25">
      <c r="A33" s="17"/>
      <c r="B33" s="45"/>
      <c r="C33" s="46"/>
      <c r="D33" s="48"/>
      <c r="E33" s="48"/>
      <c r="F33" s="48"/>
      <c r="G33" s="17"/>
      <c r="H33" s="17"/>
      <c r="I33" s="17"/>
      <c r="J33" s="34"/>
      <c r="K33" s="12"/>
      <c r="L33" s="17"/>
      <c r="M33" s="17"/>
      <c r="N33" s="17"/>
      <c r="O33" s="57"/>
      <c r="P33" s="17"/>
      <c r="Q33" s="17"/>
      <c r="R33" s="26"/>
    </row>
    <row r="34" spans="1:19" s="31" customFormat="1" ht="14.25" customHeight="1" thickBot="1" x14ac:dyDescent="0.3">
      <c r="A34" s="1"/>
      <c r="B34" s="49" t="s">
        <v>27</v>
      </c>
      <c r="C34" s="1"/>
      <c r="D34" s="225"/>
      <c r="E34" s="32">
        <v>1</v>
      </c>
      <c r="F34" s="33">
        <f>E34*D34</f>
        <v>0</v>
      </c>
      <c r="G34" s="224"/>
      <c r="H34" s="26">
        <v>45</v>
      </c>
      <c r="I34" s="2"/>
      <c r="J34" s="34" t="s">
        <v>4</v>
      </c>
      <c r="K34" s="11">
        <f>(G34*$D$13*F34)/1000</f>
        <v>0</v>
      </c>
      <c r="L34" s="1" t="s">
        <v>19</v>
      </c>
      <c r="M34" s="1"/>
      <c r="N34" s="1"/>
      <c r="O34" s="58"/>
      <c r="P34" s="49"/>
      <c r="Q34" s="1"/>
      <c r="R34" s="26">
        <v>1</v>
      </c>
      <c r="S34"/>
    </row>
    <row r="35" spans="1:19" s="31" customFormat="1" ht="14.25" customHeight="1" thickBot="1" x14ac:dyDescent="0.25">
      <c r="A35" s="17"/>
      <c r="B35" s="45"/>
      <c r="C35" s="46"/>
      <c r="D35" s="48"/>
      <c r="E35" s="48"/>
      <c r="F35" s="48"/>
      <c r="G35" s="17"/>
      <c r="H35" s="17"/>
      <c r="I35" s="17"/>
      <c r="J35" s="34"/>
      <c r="K35" s="12"/>
      <c r="L35" s="17"/>
      <c r="M35" s="17"/>
      <c r="N35" s="17"/>
      <c r="O35" s="57"/>
      <c r="P35" s="45"/>
      <c r="Q35" s="17"/>
      <c r="R35" s="26"/>
    </row>
    <row r="36" spans="1:19" s="31" customFormat="1" ht="14.25" customHeight="1" thickBot="1" x14ac:dyDescent="0.3">
      <c r="A36" s="1"/>
      <c r="B36" s="1" t="s">
        <v>20</v>
      </c>
      <c r="C36" s="1"/>
      <c r="D36" s="225">
        <v>0</v>
      </c>
      <c r="E36" s="32">
        <v>0.3</v>
      </c>
      <c r="F36" s="33">
        <f>E36*D36</f>
        <v>0</v>
      </c>
      <c r="G36" s="224">
        <v>0</v>
      </c>
      <c r="H36" s="26">
        <v>45</v>
      </c>
      <c r="I36" s="2"/>
      <c r="J36" s="34" t="s">
        <v>4</v>
      </c>
      <c r="K36" s="11">
        <f>(G36*$D$13*F36)/1000</f>
        <v>0</v>
      </c>
      <c r="L36" s="1" t="s">
        <v>19</v>
      </c>
      <c r="M36" s="1"/>
      <c r="N36" s="1"/>
      <c r="O36" s="58"/>
      <c r="P36" s="1"/>
      <c r="Q36" s="1"/>
      <c r="R36" s="26">
        <v>0</v>
      </c>
    </row>
    <row r="37" spans="1:19" s="31" customFormat="1" ht="14.25" customHeight="1" thickBot="1" x14ac:dyDescent="0.3">
      <c r="A37" s="1"/>
      <c r="B37" s="1" t="s">
        <v>21</v>
      </c>
      <c r="C37" s="1"/>
      <c r="D37" s="225">
        <v>0</v>
      </c>
      <c r="E37" s="32">
        <v>0.6</v>
      </c>
      <c r="F37" s="33">
        <f>E37*D37</f>
        <v>0</v>
      </c>
      <c r="G37" s="224">
        <v>0</v>
      </c>
      <c r="H37" s="26">
        <v>45</v>
      </c>
      <c r="I37" s="2"/>
      <c r="J37" s="34" t="s">
        <v>4</v>
      </c>
      <c r="K37" s="11">
        <f>(G37*$D$13*F37)/1000</f>
        <v>0</v>
      </c>
      <c r="L37" s="1" t="s">
        <v>19</v>
      </c>
      <c r="M37" s="1"/>
      <c r="N37" s="1"/>
      <c r="O37" s="58"/>
      <c r="P37" s="1"/>
      <c r="Q37" s="1"/>
      <c r="R37" s="26">
        <v>0</v>
      </c>
    </row>
    <row r="38" spans="1:19" s="31" customFormat="1" ht="14.25" customHeight="1" thickBot="1" x14ac:dyDescent="0.3">
      <c r="A38" s="1"/>
      <c r="B38" s="1" t="s">
        <v>22</v>
      </c>
      <c r="C38" s="1"/>
      <c r="D38" s="225">
        <v>0</v>
      </c>
      <c r="E38" s="32">
        <v>0.8</v>
      </c>
      <c r="F38" s="33">
        <f>E38*D38</f>
        <v>0</v>
      </c>
      <c r="G38" s="224">
        <v>0</v>
      </c>
      <c r="H38" s="26">
        <v>45</v>
      </c>
      <c r="I38" s="2"/>
      <c r="J38" s="34" t="s">
        <v>4</v>
      </c>
      <c r="K38" s="11">
        <f>(G38*$D$13*F38)/1000</f>
        <v>0</v>
      </c>
      <c r="L38" s="1" t="s">
        <v>19</v>
      </c>
      <c r="M38" s="1"/>
      <c r="N38" s="1"/>
      <c r="O38" s="58"/>
      <c r="P38" s="1"/>
      <c r="Q38" s="1"/>
      <c r="R38" s="26">
        <v>0</v>
      </c>
    </row>
    <row r="39" spans="1:19" s="31" customFormat="1" ht="14.25" customHeight="1" thickBot="1" x14ac:dyDescent="0.25">
      <c r="A39" s="17"/>
      <c r="B39" s="45"/>
      <c r="C39" s="46"/>
      <c r="D39" s="48"/>
      <c r="E39" s="48"/>
      <c r="F39" s="48"/>
      <c r="G39" s="17"/>
      <c r="H39" s="17"/>
      <c r="I39" s="17"/>
      <c r="J39" s="34"/>
      <c r="K39" s="12"/>
      <c r="L39" s="17"/>
      <c r="M39" s="17"/>
      <c r="N39" s="17"/>
      <c r="O39" s="57"/>
      <c r="P39" s="45"/>
      <c r="Q39" s="17"/>
      <c r="R39" s="26"/>
    </row>
    <row r="40" spans="1:19" s="31" customFormat="1" ht="14.25" customHeight="1" thickBot="1" x14ac:dyDescent="0.3">
      <c r="A40" s="1"/>
      <c r="B40" s="1" t="s">
        <v>28</v>
      </c>
      <c r="C40" s="1"/>
      <c r="D40" s="225"/>
      <c r="E40" s="32">
        <v>0.6</v>
      </c>
      <c r="F40" s="33">
        <f>E40*D40</f>
        <v>0</v>
      </c>
      <c r="G40" s="224"/>
      <c r="H40" s="26">
        <v>45</v>
      </c>
      <c r="I40" s="2"/>
      <c r="J40" s="34" t="s">
        <v>4</v>
      </c>
      <c r="K40" s="11">
        <f>(G40*$D$13*F40)/1000</f>
        <v>0</v>
      </c>
      <c r="L40" s="1" t="s">
        <v>19</v>
      </c>
      <c r="M40" s="1"/>
      <c r="N40" s="1"/>
      <c r="O40" s="58"/>
      <c r="P40" s="1"/>
      <c r="Q40" s="1"/>
      <c r="R40" s="26">
        <v>0</v>
      </c>
      <c r="S40"/>
    </row>
    <row r="41" spans="1:19" s="31" customFormat="1" ht="14.25" customHeight="1" thickBot="1" x14ac:dyDescent="0.3">
      <c r="A41" s="17"/>
      <c r="B41" s="17"/>
      <c r="C41" s="36"/>
      <c r="D41" s="10"/>
      <c r="E41" s="36"/>
      <c r="F41" s="44"/>
      <c r="G41" s="17"/>
      <c r="H41" s="17"/>
      <c r="I41" s="17"/>
      <c r="J41" s="34"/>
      <c r="K41" s="12"/>
      <c r="L41" s="17"/>
      <c r="M41" s="17"/>
      <c r="N41" s="17"/>
      <c r="O41" s="54"/>
      <c r="P41" s="17"/>
      <c r="Q41" s="17"/>
      <c r="R41" s="26"/>
    </row>
    <row r="42" spans="1:19" s="31" customFormat="1" ht="14.25" customHeight="1" thickBot="1" x14ac:dyDescent="0.3">
      <c r="A42" s="89"/>
      <c r="B42" s="17" t="s">
        <v>29</v>
      </c>
      <c r="C42" s="89"/>
      <c r="D42" s="224">
        <v>0</v>
      </c>
      <c r="E42" s="32">
        <v>0.6</v>
      </c>
      <c r="F42" s="33">
        <f>E42*D42</f>
        <v>0</v>
      </c>
      <c r="G42" s="224">
        <v>0</v>
      </c>
      <c r="H42" s="26">
        <v>130</v>
      </c>
      <c r="I42" s="17"/>
      <c r="J42" s="34" t="s">
        <v>4</v>
      </c>
      <c r="K42" s="11">
        <f>(G42*$D$13*F42)/1000</f>
        <v>0</v>
      </c>
      <c r="L42" s="1" t="s">
        <v>19</v>
      </c>
      <c r="M42" s="17"/>
      <c r="N42" s="17"/>
      <c r="O42" s="18"/>
      <c r="P42" s="17"/>
      <c r="Q42" s="17"/>
      <c r="R42" s="26">
        <v>1</v>
      </c>
    </row>
    <row r="43" spans="1:19" s="31" customFormat="1" ht="14.25" customHeight="1" thickBot="1" x14ac:dyDescent="0.3">
      <c r="A43" s="89"/>
      <c r="B43" s="17"/>
      <c r="C43" s="89"/>
      <c r="D43" s="88"/>
      <c r="E43" s="36"/>
      <c r="F43" s="37"/>
      <c r="G43" s="88"/>
      <c r="H43" s="26"/>
      <c r="I43" s="17"/>
      <c r="J43" s="34"/>
      <c r="K43" s="12"/>
      <c r="L43" s="1"/>
      <c r="M43" s="17"/>
      <c r="N43" s="17"/>
      <c r="O43" s="18"/>
      <c r="P43" s="17"/>
      <c r="Q43" s="17"/>
      <c r="R43" s="26"/>
    </row>
    <row r="44" spans="1:19" s="31" customFormat="1" ht="14.25" customHeight="1" thickBot="1" x14ac:dyDescent="0.3">
      <c r="A44" s="89"/>
      <c r="B44" s="17" t="s">
        <v>35</v>
      </c>
      <c r="C44" s="89"/>
      <c r="D44" s="224">
        <v>0</v>
      </c>
      <c r="E44" s="224">
        <v>0</v>
      </c>
      <c r="F44" s="33">
        <f>E44*D44</f>
        <v>0</v>
      </c>
      <c r="G44" s="224">
        <v>0</v>
      </c>
      <c r="H44" s="26"/>
      <c r="I44" s="17"/>
      <c r="J44" s="34" t="s">
        <v>4</v>
      </c>
      <c r="K44" s="11">
        <f>(G44*$D$13*F44)/1000</f>
        <v>0</v>
      </c>
      <c r="L44" s="1" t="s">
        <v>19</v>
      </c>
      <c r="M44" s="17"/>
      <c r="N44" s="17"/>
      <c r="O44" s="18"/>
      <c r="P44" s="17"/>
      <c r="Q44" s="17"/>
      <c r="R44" s="26"/>
    </row>
    <row r="45" spans="1:19" s="31" customFormat="1" ht="14.25" customHeight="1" thickBot="1" x14ac:dyDescent="0.3">
      <c r="A45" s="89"/>
      <c r="B45" s="17"/>
      <c r="C45" s="89"/>
      <c r="D45" s="88"/>
      <c r="E45" s="36"/>
      <c r="F45" s="37"/>
      <c r="G45" s="88"/>
      <c r="H45" s="26"/>
      <c r="I45" s="17"/>
      <c r="J45" s="34"/>
      <c r="K45" s="12"/>
      <c r="L45" s="1"/>
      <c r="M45" s="17"/>
      <c r="N45" s="17"/>
      <c r="O45" s="18"/>
      <c r="P45" s="17"/>
      <c r="Q45" s="17"/>
      <c r="R45" s="26"/>
    </row>
    <row r="46" spans="1:19" s="31" customFormat="1" ht="14.25" customHeight="1" thickBot="1" x14ac:dyDescent="0.3">
      <c r="A46" s="89"/>
      <c r="B46" s="17" t="s">
        <v>35</v>
      </c>
      <c r="C46" s="89"/>
      <c r="D46" s="224"/>
      <c r="E46" s="224"/>
      <c r="F46" s="33">
        <f>E46*D46</f>
        <v>0</v>
      </c>
      <c r="G46" s="224"/>
      <c r="H46" s="26"/>
      <c r="I46" s="17"/>
      <c r="J46" s="34" t="s">
        <v>4</v>
      </c>
      <c r="K46" s="11">
        <f>(G46*$D$13*F46)/1000</f>
        <v>0</v>
      </c>
      <c r="L46" s="1" t="s">
        <v>19</v>
      </c>
      <c r="M46" s="17"/>
      <c r="N46" s="17"/>
      <c r="O46" s="18"/>
      <c r="P46" s="17"/>
      <c r="Q46" s="17"/>
      <c r="R46" s="26"/>
    </row>
    <row r="47" spans="1:19" s="31" customFormat="1" ht="14.25" customHeight="1" thickBot="1" x14ac:dyDescent="0.3">
      <c r="A47" s="89"/>
      <c r="B47" s="17"/>
      <c r="C47" s="89"/>
      <c r="D47" s="88"/>
      <c r="E47" s="36"/>
      <c r="F47" s="37"/>
      <c r="G47" s="88"/>
      <c r="H47" s="26"/>
      <c r="I47" s="17"/>
      <c r="J47" s="34"/>
      <c r="K47" s="12"/>
      <c r="L47" s="1"/>
      <c r="M47" s="17"/>
      <c r="N47" s="17"/>
      <c r="O47" s="18"/>
      <c r="P47" s="17"/>
      <c r="Q47" s="17"/>
      <c r="R47" s="26"/>
    </row>
    <row r="48" spans="1:19" s="31" customFormat="1" ht="14.25" customHeight="1" thickBot="1" x14ac:dyDescent="0.3">
      <c r="A48" s="89"/>
      <c r="B48" s="17" t="s">
        <v>35</v>
      </c>
      <c r="D48" s="224"/>
      <c r="E48" s="224"/>
      <c r="F48" s="33">
        <f>E48*D48</f>
        <v>0</v>
      </c>
      <c r="G48" s="224"/>
      <c r="H48" s="26"/>
      <c r="I48" s="17"/>
      <c r="J48" s="34" t="s">
        <v>4</v>
      </c>
      <c r="K48" s="11">
        <f>(G48*$D$13*F48)/1000</f>
        <v>0</v>
      </c>
      <c r="L48" s="1" t="s">
        <v>19</v>
      </c>
      <c r="M48" s="17"/>
      <c r="N48" s="17"/>
      <c r="O48" s="18"/>
      <c r="P48" s="17"/>
      <c r="Q48" s="17"/>
      <c r="R48" s="26"/>
    </row>
    <row r="49" spans="1:18" s="31" customFormat="1" ht="14.25" customHeight="1" thickBot="1" x14ac:dyDescent="0.3">
      <c r="A49" s="17"/>
      <c r="B49" s="17"/>
      <c r="C49" s="17"/>
      <c r="D49" s="17"/>
      <c r="E49" s="36"/>
      <c r="F49" s="44"/>
      <c r="G49" s="17"/>
      <c r="H49" s="17"/>
      <c r="I49" s="17"/>
      <c r="J49" s="17"/>
      <c r="K49" s="17"/>
      <c r="L49" s="17"/>
      <c r="M49" s="17"/>
      <c r="N49" s="17"/>
      <c r="O49" s="57"/>
      <c r="P49" s="17"/>
      <c r="Q49" s="17"/>
      <c r="R49" s="17"/>
    </row>
    <row r="50" spans="1:18" s="31" customFormat="1" ht="14.25" customHeight="1" thickBot="1" x14ac:dyDescent="0.3">
      <c r="A50" s="17"/>
      <c r="B50" s="17"/>
      <c r="C50" s="17"/>
      <c r="D50" s="17"/>
      <c r="E50" s="38" t="s">
        <v>24</v>
      </c>
      <c r="F50" s="33">
        <f>SUM(F42,F40,F38,F37,F36,F34)</f>
        <v>0</v>
      </c>
      <c r="G50" s="17"/>
      <c r="H50" s="17"/>
      <c r="I50" s="17"/>
      <c r="J50" s="39" t="s">
        <v>25</v>
      </c>
      <c r="K50" s="61">
        <f>SUM(K42,K40,K38,K37,K36,K34,K44,K46,K48)</f>
        <v>0</v>
      </c>
      <c r="L50" s="1" t="s">
        <v>19</v>
      </c>
      <c r="M50" s="17"/>
      <c r="N50" s="17"/>
      <c r="O50" s="57"/>
      <c r="P50" s="17"/>
      <c r="Q50" s="17"/>
      <c r="R50" s="17"/>
    </row>
    <row r="51" spans="1:18" s="31" customFormat="1" ht="14.25" customHeight="1" x14ac:dyDescent="0.25">
      <c r="A51" s="17"/>
      <c r="B51" s="17"/>
      <c r="C51" s="36"/>
      <c r="D51" s="10"/>
      <c r="E51" s="36"/>
      <c r="F51" s="44"/>
      <c r="G51" s="17"/>
      <c r="H51" s="17"/>
      <c r="I51" s="17"/>
      <c r="J51" s="34"/>
      <c r="K51" s="12"/>
      <c r="L51" s="17"/>
      <c r="M51" s="17"/>
      <c r="N51" s="17"/>
      <c r="O51" s="54"/>
      <c r="P51" s="17"/>
      <c r="Q51" s="17"/>
      <c r="R51" s="26"/>
    </row>
    <row r="52" spans="1:18" ht="15.75" thickBot="1" x14ac:dyDescent="0.3">
      <c r="A52" s="1"/>
      <c r="B52" s="1"/>
      <c r="C52" s="1"/>
      <c r="D52" s="1"/>
      <c r="E52" s="1"/>
      <c r="F52" s="1"/>
      <c r="G52" s="2"/>
      <c r="H52" s="2"/>
      <c r="I52" s="2"/>
      <c r="J52" s="1"/>
      <c r="K52" s="1"/>
      <c r="L52" s="1"/>
      <c r="M52" s="1"/>
      <c r="N52" s="1"/>
      <c r="O52" s="55"/>
      <c r="P52" s="1"/>
      <c r="Q52" s="1"/>
      <c r="R52" s="23"/>
    </row>
    <row r="53" spans="1:18" ht="15.75" thickBot="1" x14ac:dyDescent="0.3">
      <c r="A53" s="1"/>
      <c r="B53" s="20" t="s">
        <v>30</v>
      </c>
      <c r="C53" s="21"/>
      <c r="D53" s="50"/>
      <c r="E53" s="1"/>
      <c r="F53" s="1"/>
      <c r="G53" s="2"/>
      <c r="H53" s="2"/>
      <c r="I53" s="2"/>
      <c r="J53" s="1"/>
      <c r="K53" s="1"/>
      <c r="L53" s="1"/>
      <c r="M53" s="1"/>
      <c r="N53" s="1"/>
      <c r="O53" s="55"/>
      <c r="P53" s="1"/>
      <c r="Q53" s="1"/>
      <c r="R53" s="23"/>
    </row>
    <row r="54" spans="1:18" ht="15.75" thickBot="1" x14ac:dyDescent="0.3">
      <c r="A54" s="1"/>
      <c r="B54" s="51"/>
      <c r="C54" s="51"/>
      <c r="D54" s="51"/>
      <c r="E54" s="1"/>
      <c r="F54" s="1"/>
      <c r="G54" s="2"/>
      <c r="H54" s="2"/>
      <c r="I54" s="2"/>
      <c r="J54" s="1"/>
      <c r="K54" s="1"/>
      <c r="L54" s="1"/>
      <c r="M54" s="1"/>
      <c r="N54" s="1"/>
      <c r="O54" s="55"/>
      <c r="P54" s="1"/>
      <c r="Q54" s="1"/>
      <c r="R54" s="23"/>
    </row>
    <row r="55" spans="1:18" ht="15.75" thickBot="1" x14ac:dyDescent="0.3">
      <c r="A55" s="1"/>
      <c r="B55" s="1"/>
      <c r="C55" s="1"/>
      <c r="D55" s="27" t="s">
        <v>14</v>
      </c>
      <c r="E55" s="27" t="s">
        <v>15</v>
      </c>
      <c r="F55" s="27" t="s">
        <v>16</v>
      </c>
      <c r="G55" s="27" t="s">
        <v>17</v>
      </c>
      <c r="H55" s="2"/>
      <c r="I55" s="2"/>
      <c r="J55" s="1"/>
      <c r="K55" s="1"/>
      <c r="L55" s="1"/>
      <c r="M55" s="1"/>
      <c r="N55" s="1"/>
      <c r="O55" s="56"/>
      <c r="P55" s="1"/>
      <c r="Q55" s="1"/>
      <c r="R55" s="23"/>
    </row>
    <row r="56" spans="1:18" ht="15.75" thickBot="1" x14ac:dyDescent="0.3">
      <c r="A56" s="1"/>
      <c r="B56" s="1"/>
      <c r="C56" s="1"/>
      <c r="D56" s="2"/>
      <c r="E56" s="2"/>
      <c r="F56" s="2"/>
      <c r="G56" s="17"/>
      <c r="H56" s="2"/>
      <c r="I56" s="2"/>
      <c r="J56" s="1"/>
      <c r="K56" s="1"/>
      <c r="L56" s="1"/>
      <c r="M56" s="1"/>
      <c r="N56" s="1"/>
      <c r="O56" s="59"/>
      <c r="P56" s="1"/>
      <c r="Q56" s="1"/>
      <c r="R56" s="23"/>
    </row>
    <row r="57" spans="1:18" ht="21" thickBot="1" x14ac:dyDescent="0.3">
      <c r="A57" s="1"/>
      <c r="B57" s="6" t="s">
        <v>31</v>
      </c>
      <c r="C57" s="1"/>
      <c r="D57" s="225"/>
      <c r="E57" s="32">
        <v>0.15</v>
      </c>
      <c r="F57" s="33">
        <f>E57*D57</f>
        <v>0</v>
      </c>
      <c r="G57" s="224"/>
      <c r="H57" s="26">
        <v>130</v>
      </c>
      <c r="I57" s="2"/>
      <c r="J57" s="34" t="s">
        <v>4</v>
      </c>
      <c r="K57" s="11">
        <f>(G57*$D$13*F57)/1000</f>
        <v>0</v>
      </c>
      <c r="L57" s="1" t="s">
        <v>19</v>
      </c>
      <c r="M57" s="1"/>
      <c r="N57" s="1"/>
      <c r="O57" s="58"/>
      <c r="P57" s="6"/>
      <c r="Q57" s="1"/>
      <c r="R57" s="26">
        <v>0</v>
      </c>
    </row>
    <row r="58" spans="1:18" ht="15.75" thickBot="1" x14ac:dyDescent="0.3">
      <c r="A58" s="1"/>
      <c r="B58" s="6"/>
      <c r="C58" s="1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59"/>
      <c r="P58" s="6"/>
      <c r="Q58" s="1"/>
      <c r="R58" s="23"/>
    </row>
    <row r="59" spans="1:18" ht="21" thickBot="1" x14ac:dyDescent="0.3">
      <c r="A59" s="1"/>
      <c r="B59" s="6" t="s">
        <v>32</v>
      </c>
      <c r="C59" s="1"/>
      <c r="D59" s="225"/>
      <c r="E59" s="32">
        <v>0.2</v>
      </c>
      <c r="F59" s="33">
        <f>E59*D59</f>
        <v>0</v>
      </c>
      <c r="G59" s="224"/>
      <c r="H59" s="26">
        <v>130</v>
      </c>
      <c r="I59" s="2"/>
      <c r="J59" s="34" t="s">
        <v>4</v>
      </c>
      <c r="K59" s="11">
        <f>(G59*$D$13*F59)/1000</f>
        <v>0</v>
      </c>
      <c r="L59" s="1" t="s">
        <v>19</v>
      </c>
      <c r="M59" s="1"/>
      <c r="N59" s="1"/>
      <c r="O59" s="58"/>
      <c r="P59" s="6"/>
      <c r="Q59" s="1"/>
      <c r="R59" s="26">
        <v>0</v>
      </c>
    </row>
    <row r="60" spans="1:18" ht="15.75" thickBot="1" x14ac:dyDescent="0.3">
      <c r="A60" s="1"/>
      <c r="B60" s="1"/>
      <c r="C60" s="1"/>
      <c r="D60" s="1"/>
      <c r="E60" s="1"/>
      <c r="F60" s="2"/>
      <c r="G60" s="2"/>
      <c r="H60" s="5"/>
      <c r="I60" s="5"/>
      <c r="J60" s="1"/>
      <c r="K60" s="1"/>
      <c r="L60" s="1"/>
      <c r="M60" s="1"/>
      <c r="N60" s="1"/>
      <c r="O60" s="55"/>
      <c r="P60" s="1"/>
      <c r="Q60" s="1"/>
      <c r="R60" s="23"/>
    </row>
    <row r="61" spans="1:18" ht="21" thickBot="1" x14ac:dyDescent="0.3">
      <c r="A61" s="1"/>
      <c r="B61" s="1"/>
      <c r="C61" s="1"/>
      <c r="D61" s="1"/>
      <c r="E61" s="38" t="s">
        <v>24</v>
      </c>
      <c r="F61" s="33">
        <f>SUM(F59,F57)</f>
        <v>0</v>
      </c>
      <c r="G61" s="5"/>
      <c r="H61" s="5"/>
      <c r="I61" s="5"/>
      <c r="J61" s="39" t="s">
        <v>25</v>
      </c>
      <c r="K61" s="11">
        <f>(G61*$D$13*F61)/1000</f>
        <v>0</v>
      </c>
      <c r="L61" s="1" t="s">
        <v>19</v>
      </c>
      <c r="M61" s="1"/>
      <c r="N61" s="1"/>
      <c r="O61" s="58"/>
      <c r="P61" s="6"/>
      <c r="Q61" s="1"/>
      <c r="R61" s="26"/>
    </row>
    <row r="62" spans="1:18" ht="15.75" thickBot="1" x14ac:dyDescent="0.3">
      <c r="A62" s="1"/>
      <c r="B62" s="1"/>
      <c r="C62" s="1"/>
      <c r="D62" s="1"/>
      <c r="E62" s="1"/>
      <c r="F62" s="1"/>
      <c r="G62" s="2"/>
      <c r="H62" s="2"/>
      <c r="I62" s="2"/>
      <c r="J62" s="1"/>
      <c r="K62" s="2"/>
      <c r="L62" s="1"/>
      <c r="M62" s="1"/>
      <c r="N62" s="1"/>
      <c r="O62" s="1"/>
      <c r="P62" s="1"/>
      <c r="Q62" s="1"/>
      <c r="R62" s="1"/>
    </row>
    <row r="63" spans="1:18" ht="21" thickBot="1" x14ac:dyDescent="0.3">
      <c r="A63" s="1"/>
      <c r="B63" s="1"/>
      <c r="C63" s="1"/>
      <c r="D63" s="1"/>
      <c r="E63" s="1"/>
      <c r="F63" s="6"/>
      <c r="G63" s="2"/>
      <c r="H63" s="2"/>
      <c r="I63" s="2"/>
      <c r="J63" s="39" t="s">
        <v>33</v>
      </c>
      <c r="K63" s="52">
        <f>SUM(K61,K50,K28)</f>
        <v>0</v>
      </c>
      <c r="L63" s="1" t="s">
        <v>19</v>
      </c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53"/>
      <c r="G64" s="2"/>
      <c r="H64" s="2"/>
      <c r="I64" s="2"/>
      <c r="J64" s="1"/>
      <c r="K64" s="2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53"/>
      <c r="G65" s="2"/>
      <c r="H65" s="2"/>
      <c r="I65" s="2"/>
      <c r="J65" s="1"/>
      <c r="K65" s="2"/>
      <c r="L65" s="1"/>
      <c r="M65" s="1"/>
      <c r="N65" s="1"/>
      <c r="O65" s="1"/>
      <c r="P65" s="1"/>
      <c r="Q65" s="1"/>
      <c r="R65" s="1"/>
    </row>
    <row r="66" spans="1:18" x14ac:dyDescent="0.25">
      <c r="A66" s="14"/>
      <c r="B66" s="14"/>
      <c r="C66" s="14"/>
      <c r="D66" s="14"/>
      <c r="E66" s="14"/>
      <c r="F66" s="14"/>
      <c r="G66" s="15"/>
      <c r="H66" s="15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14"/>
      <c r="B67" s="14"/>
      <c r="C67" s="14"/>
      <c r="D67" s="14"/>
      <c r="E67" s="14"/>
      <c r="F67" s="14"/>
      <c r="G67" s="15"/>
      <c r="H67" s="15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5">
      <c r="A68" s="14"/>
      <c r="B68" s="14"/>
      <c r="C68" s="14"/>
      <c r="D68" s="14"/>
      <c r="E68" s="14"/>
      <c r="F68" s="14"/>
      <c r="G68" s="15"/>
      <c r="H68" s="15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25">
      <c r="A69" s="14"/>
      <c r="B69" s="14"/>
      <c r="C69" s="14"/>
      <c r="D69" s="14"/>
      <c r="E69" s="14"/>
      <c r="F69" s="14"/>
      <c r="G69" s="15"/>
      <c r="H69" s="15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x14ac:dyDescent="0.25">
      <c r="A70" s="14"/>
      <c r="B70" s="14"/>
      <c r="C70" s="14"/>
      <c r="D70" s="14"/>
      <c r="E70" s="14"/>
      <c r="F70" s="14"/>
      <c r="G70" s="15"/>
      <c r="H70" s="15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25">
      <c r="A71" s="14"/>
      <c r="B71" s="14"/>
      <c r="C71" s="14"/>
      <c r="D71" s="14"/>
      <c r="E71" s="14"/>
      <c r="F71" s="14"/>
      <c r="G71" s="15"/>
      <c r="H71" s="15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25">
      <c r="A72" s="14"/>
      <c r="B72" s="14"/>
      <c r="C72" s="14"/>
      <c r="D72" s="14"/>
      <c r="E72" s="14"/>
      <c r="F72" s="14"/>
      <c r="G72" s="15"/>
      <c r="H72" s="15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x14ac:dyDescent="0.25">
      <c r="A73" s="14"/>
      <c r="B73" s="14"/>
      <c r="C73" s="14"/>
      <c r="D73" s="14"/>
      <c r="E73" s="14"/>
      <c r="F73" s="14"/>
      <c r="G73" s="14"/>
      <c r="H73" s="15"/>
      <c r="I73" s="15"/>
      <c r="J73" s="14"/>
      <c r="K73" s="14"/>
      <c r="L73" s="14"/>
      <c r="M73" s="14"/>
      <c r="N73" s="14"/>
      <c r="O73" s="14"/>
      <c r="P73" s="14"/>
      <c r="Q73" s="14"/>
      <c r="R73" s="14"/>
    </row>
    <row r="74" spans="1:18" x14ac:dyDescent="0.25">
      <c r="A74" s="14"/>
      <c r="B74" s="14"/>
      <c r="C74" s="14"/>
      <c r="D74" s="14"/>
      <c r="E74" s="14"/>
      <c r="F74" s="14"/>
      <c r="G74" s="14"/>
      <c r="H74" s="15"/>
      <c r="I74" s="15"/>
      <c r="J74" s="14"/>
      <c r="K74" s="14"/>
      <c r="L74" s="14"/>
      <c r="M74" s="14"/>
      <c r="N74" s="14"/>
      <c r="O74" s="14"/>
      <c r="P74" s="14"/>
      <c r="Q74" s="14"/>
      <c r="R74" s="14"/>
    </row>
    <row r="75" spans="1:18" x14ac:dyDescent="0.25">
      <c r="A75" s="14"/>
      <c r="B75" s="14"/>
      <c r="C75" s="14"/>
      <c r="D75" s="14"/>
      <c r="E75" s="14"/>
      <c r="F75" s="14"/>
      <c r="G75" s="14"/>
      <c r="H75" s="15"/>
      <c r="I75" s="15"/>
      <c r="J75" s="14"/>
      <c r="K75" s="14"/>
      <c r="L75" s="14"/>
      <c r="M75" s="14"/>
      <c r="N75" s="14"/>
      <c r="O75" s="14"/>
      <c r="P75" s="14"/>
      <c r="Q75" s="14"/>
      <c r="R75" s="14"/>
    </row>
    <row r="76" spans="1:18" x14ac:dyDescent="0.25">
      <c r="A76" s="14"/>
      <c r="B76" s="14"/>
      <c r="C76" s="14"/>
      <c r="D76" s="14"/>
      <c r="E76" s="14"/>
      <c r="F76" s="14"/>
      <c r="G76" s="14"/>
      <c r="H76" s="15"/>
      <c r="I76" s="15"/>
      <c r="J76" s="14"/>
      <c r="K76" s="14"/>
      <c r="L76" s="14"/>
      <c r="M76" s="14"/>
      <c r="N76" s="14"/>
      <c r="O76" s="14"/>
      <c r="P76" s="14"/>
      <c r="Q76" s="14"/>
      <c r="R76" s="14"/>
    </row>
    <row r="77" spans="1:18" x14ac:dyDescent="0.25">
      <c r="A77" s="14"/>
      <c r="B77" s="14"/>
      <c r="C77" s="14"/>
      <c r="D77" s="14"/>
      <c r="E77" s="14"/>
      <c r="F77" s="14"/>
      <c r="G77" s="14"/>
      <c r="H77" s="15"/>
      <c r="I77" s="15"/>
      <c r="J77" s="14"/>
      <c r="K77" s="14"/>
      <c r="L77" s="14"/>
      <c r="M77" s="14"/>
      <c r="N77" s="14"/>
      <c r="O77" s="14"/>
      <c r="P77" s="14"/>
      <c r="Q77" s="14"/>
      <c r="R77" s="14"/>
    </row>
    <row r="78" spans="1:18" x14ac:dyDescent="0.25">
      <c r="A78" s="14"/>
      <c r="B78" s="14"/>
      <c r="C78" s="14"/>
      <c r="D78" s="14"/>
      <c r="E78" s="14"/>
      <c r="F78" s="14"/>
      <c r="G78" s="14"/>
      <c r="H78" s="15"/>
      <c r="I78" s="15"/>
      <c r="J78" s="14"/>
      <c r="K78" s="14"/>
      <c r="L78" s="14"/>
      <c r="M78" s="14"/>
      <c r="N78" s="14"/>
      <c r="O78" s="14"/>
      <c r="P78" s="14"/>
      <c r="Q78" s="14"/>
      <c r="R78" s="14"/>
    </row>
    <row r="79" spans="1:18" x14ac:dyDescent="0.25">
      <c r="A79" s="14"/>
      <c r="B79" s="14"/>
      <c r="C79" s="14"/>
      <c r="D79" s="14"/>
      <c r="E79" s="14"/>
      <c r="F79" s="14"/>
      <c r="G79" s="14"/>
      <c r="H79" s="15"/>
      <c r="I79" s="15"/>
      <c r="J79" s="14"/>
      <c r="K79" s="14"/>
      <c r="L79" s="14"/>
      <c r="M79" s="14"/>
      <c r="N79" s="14"/>
      <c r="O79" s="14"/>
      <c r="P79" s="14"/>
      <c r="Q79" s="14"/>
      <c r="R79" s="14"/>
    </row>
    <row r="80" spans="1:18" x14ac:dyDescent="0.25">
      <c r="A80" s="14"/>
      <c r="B80" s="14"/>
      <c r="C80" s="14"/>
      <c r="D80" s="14"/>
      <c r="E80" s="14"/>
      <c r="F80" s="14"/>
      <c r="G80" s="14"/>
      <c r="H80" s="15"/>
      <c r="I80" s="15"/>
      <c r="J80" s="14"/>
      <c r="K80" s="14"/>
      <c r="L80" s="14"/>
      <c r="M80" s="14"/>
      <c r="N80" s="14"/>
      <c r="O80" s="14"/>
      <c r="P80" s="14"/>
      <c r="Q80" s="14"/>
      <c r="R80" s="14"/>
    </row>
    <row r="81" spans="1:18" x14ac:dyDescent="0.25">
      <c r="A81" s="14"/>
      <c r="B81" s="14"/>
      <c r="C81" s="14"/>
      <c r="D81" s="14"/>
      <c r="E81" s="14"/>
      <c r="F81" s="14"/>
      <c r="G81" s="14"/>
      <c r="H81" s="15"/>
      <c r="I81" s="15"/>
      <c r="J81" s="14"/>
      <c r="K81" s="14"/>
      <c r="L81" s="14"/>
      <c r="M81" s="14"/>
      <c r="N81" s="14"/>
      <c r="O81" s="14"/>
      <c r="P81" s="14"/>
      <c r="Q81" s="14"/>
      <c r="R81" s="14"/>
    </row>
    <row r="82" spans="1:18" x14ac:dyDescent="0.25">
      <c r="A82" s="14"/>
      <c r="B82" s="14"/>
      <c r="C82" s="14"/>
      <c r="D82" s="14"/>
      <c r="E82" s="14"/>
      <c r="F82" s="14"/>
      <c r="G82" s="14"/>
      <c r="H82" s="15"/>
      <c r="I82" s="15"/>
      <c r="J82" s="14"/>
      <c r="K82" s="14"/>
      <c r="L82" s="14"/>
      <c r="M82" s="14"/>
      <c r="N82" s="14"/>
      <c r="O82" s="14"/>
      <c r="P82" s="14"/>
      <c r="Q82" s="14"/>
      <c r="R82" s="14"/>
    </row>
    <row r="83" spans="1:18" x14ac:dyDescent="0.25">
      <c r="A83" s="14"/>
      <c r="B83" s="14"/>
      <c r="C83" s="14"/>
      <c r="D83" s="14"/>
      <c r="E83" s="14"/>
      <c r="F83" s="14"/>
      <c r="G83" s="14"/>
      <c r="H83" s="15"/>
      <c r="I83" s="15"/>
      <c r="J83" s="14"/>
      <c r="K83" s="14"/>
      <c r="L83" s="14"/>
      <c r="M83" s="14"/>
      <c r="N83" s="14"/>
      <c r="O83" s="14"/>
      <c r="P83" s="14"/>
      <c r="Q83" s="14"/>
      <c r="R83" s="14"/>
    </row>
    <row r="84" spans="1:18" x14ac:dyDescent="0.25">
      <c r="A84" s="14"/>
      <c r="B84" s="14"/>
      <c r="C84" s="14"/>
      <c r="D84" s="14"/>
      <c r="E84" s="14"/>
      <c r="F84" s="14"/>
      <c r="G84" s="14"/>
      <c r="H84" s="15"/>
      <c r="I84" s="15"/>
      <c r="J84" s="14"/>
      <c r="K84" s="14"/>
      <c r="L84" s="14"/>
      <c r="M84" s="14"/>
      <c r="N84" s="14"/>
      <c r="O84" s="14"/>
      <c r="P84" s="14"/>
      <c r="Q84" s="14"/>
      <c r="R84" s="14"/>
    </row>
    <row r="85" spans="1:18" x14ac:dyDescent="0.25">
      <c r="A85" s="14"/>
      <c r="B85" s="14"/>
      <c r="C85" s="14"/>
      <c r="D85" s="14"/>
      <c r="E85" s="14"/>
      <c r="F85" s="14"/>
      <c r="G85" s="14"/>
      <c r="H85" s="15"/>
      <c r="I85" s="15"/>
      <c r="J85" s="14"/>
      <c r="K85" s="14"/>
      <c r="L85" s="14"/>
      <c r="M85" s="14"/>
      <c r="N85" s="14"/>
      <c r="O85" s="14"/>
      <c r="P85" s="14"/>
      <c r="Q85" s="14"/>
      <c r="R85" s="14"/>
    </row>
    <row r="86" spans="1:18" x14ac:dyDescent="0.25">
      <c r="A86" s="14"/>
      <c r="B86" s="14"/>
      <c r="C86" s="14"/>
      <c r="D86" s="14"/>
      <c r="E86" s="14"/>
      <c r="F86" s="14"/>
      <c r="G86" s="14"/>
      <c r="H86" s="15"/>
      <c r="I86" s="15"/>
      <c r="J86" s="14"/>
      <c r="K86" s="14"/>
      <c r="L86" s="14"/>
      <c r="M86" s="14"/>
      <c r="N86" s="14"/>
      <c r="O86" s="14"/>
      <c r="P86" s="14"/>
      <c r="Q86" s="14"/>
      <c r="R86" s="14"/>
    </row>
    <row r="87" spans="1:18" x14ac:dyDescent="0.25">
      <c r="A87" s="14"/>
      <c r="B87" s="14"/>
      <c r="C87" s="14"/>
      <c r="D87" s="14"/>
      <c r="E87" s="14"/>
      <c r="F87" s="14"/>
      <c r="G87" s="14"/>
      <c r="H87" s="15"/>
      <c r="I87" s="15"/>
      <c r="J87" s="14"/>
      <c r="K87" s="14"/>
      <c r="L87" s="14"/>
      <c r="M87" s="14"/>
      <c r="N87" s="14"/>
      <c r="O87" s="14"/>
      <c r="P87" s="14"/>
      <c r="Q87" s="14"/>
      <c r="R87" s="14"/>
    </row>
    <row r="88" spans="1:18" x14ac:dyDescent="0.25">
      <c r="A88" s="14"/>
      <c r="B88" s="14"/>
      <c r="C88" s="14"/>
      <c r="D88" s="14"/>
      <c r="E88" s="14"/>
      <c r="F88" s="14"/>
      <c r="G88" s="14"/>
      <c r="H88" s="15"/>
      <c r="I88" s="15"/>
      <c r="J88" s="14"/>
      <c r="K88" s="14"/>
      <c r="L88" s="14"/>
      <c r="M88" s="14"/>
      <c r="N88" s="14"/>
      <c r="O88" s="14"/>
      <c r="P88" s="14"/>
      <c r="Q88" s="14"/>
      <c r="R88" s="14"/>
    </row>
    <row r="89" spans="1:18" x14ac:dyDescent="0.25">
      <c r="A89" s="14"/>
      <c r="B89" s="14"/>
      <c r="C89" s="14"/>
      <c r="D89" s="14"/>
      <c r="E89" s="14"/>
      <c r="F89" s="14"/>
      <c r="G89" s="14"/>
      <c r="H89" s="15"/>
      <c r="I89" s="15"/>
      <c r="J89" s="14"/>
      <c r="K89" s="14"/>
      <c r="L89" s="14"/>
      <c r="M89" s="14"/>
      <c r="N89" s="14"/>
      <c r="O89" s="14"/>
      <c r="P89" s="14"/>
      <c r="Q89" s="14"/>
      <c r="R89" s="14"/>
    </row>
    <row r="90" spans="1:18" x14ac:dyDescent="0.25">
      <c r="A90" s="14"/>
      <c r="B90" s="14"/>
      <c r="C90" s="14"/>
      <c r="D90" s="14"/>
      <c r="E90" s="14"/>
      <c r="F90" s="14"/>
      <c r="G90" s="14"/>
      <c r="H90" s="15"/>
      <c r="I90" s="15"/>
      <c r="J90" s="14"/>
      <c r="K90" s="14"/>
      <c r="L90" s="14"/>
      <c r="M90" s="14"/>
      <c r="N90" s="14"/>
      <c r="O90" s="14"/>
      <c r="P90" s="14"/>
      <c r="Q90" s="14"/>
      <c r="R90" s="14"/>
    </row>
    <row r="91" spans="1:18" x14ac:dyDescent="0.25">
      <c r="A91" s="14"/>
      <c r="B91" s="14"/>
      <c r="C91" s="14"/>
      <c r="D91" s="14"/>
      <c r="E91" s="14"/>
      <c r="F91" s="14"/>
      <c r="G91" s="14"/>
      <c r="H91" s="15"/>
      <c r="I91" s="15"/>
      <c r="J91" s="14"/>
      <c r="K91" s="14"/>
      <c r="L91" s="14"/>
      <c r="M91" s="14"/>
      <c r="N91" s="14"/>
      <c r="O91" s="14"/>
      <c r="P91" s="14"/>
      <c r="Q91" s="14"/>
      <c r="R91" s="14"/>
    </row>
  </sheetData>
  <sheetProtection password="E909" sheet="1" objects="1" scenarios="1" selectLockedCells="1"/>
  <mergeCells count="4">
    <mergeCell ref="C4:K7"/>
    <mergeCell ref="B9:C9"/>
    <mergeCell ref="E9:F9"/>
    <mergeCell ref="H9:J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8"/>
  <sheetViews>
    <sheetView showGridLines="0" topLeftCell="H106" workbookViewId="0">
      <selection activeCell="M125" sqref="M125"/>
    </sheetView>
  </sheetViews>
  <sheetFormatPr baseColWidth="10" defaultRowHeight="15" x14ac:dyDescent="0.25"/>
  <cols>
    <col min="1" max="1" width="4.28515625" customWidth="1"/>
    <col min="2" max="2" width="35.5703125" customWidth="1"/>
    <col min="3" max="3" width="9" customWidth="1"/>
    <col min="4" max="4" width="6.28515625" customWidth="1"/>
    <col min="5" max="5" width="18.28515625" customWidth="1"/>
    <col min="9" max="9" width="12.7109375" bestFit="1" customWidth="1"/>
    <col min="12" max="12" width="19.85546875" customWidth="1"/>
  </cols>
  <sheetData>
    <row r="2" spans="1:7" ht="33" customHeight="1" x14ac:dyDescent="0.25">
      <c r="A2" s="589" t="s">
        <v>204</v>
      </c>
      <c r="B2" s="589"/>
      <c r="C2" s="589"/>
      <c r="D2" s="589"/>
      <c r="E2" s="589"/>
      <c r="F2" s="589"/>
      <c r="G2" s="589"/>
    </row>
    <row r="3" spans="1:7" x14ac:dyDescent="0.25">
      <c r="B3" s="164"/>
      <c r="C3" s="164"/>
      <c r="D3" s="164"/>
      <c r="E3" s="164"/>
    </row>
    <row r="4" spans="1:7" x14ac:dyDescent="0.25">
      <c r="B4" s="164"/>
      <c r="C4" s="164"/>
      <c r="D4" s="164"/>
      <c r="E4" s="164"/>
    </row>
    <row r="5" spans="1:7" x14ac:dyDescent="0.25">
      <c r="B5" s="216" t="str">
        <f>"Commune du siège d'exploitation : "&amp;Accueil!C9&amp;""</f>
        <v xml:space="preserve">Commune du siège d'exploitation : </v>
      </c>
      <c r="E5" s="216" t="s">
        <v>219</v>
      </c>
      <c r="F5">
        <f>Accueil!F9</f>
        <v>0</v>
      </c>
    </row>
    <row r="6" spans="1:7" x14ac:dyDescent="0.25">
      <c r="E6" s="216" t="str">
        <f>"Altitude exploitation : "&amp;Accueil!F11&amp;""</f>
        <v xml:space="preserve">Altitude exploitation : </v>
      </c>
      <c r="F6">
        <f>Accueil!F11</f>
        <v>0</v>
      </c>
    </row>
    <row r="7" spans="1:7" x14ac:dyDescent="0.25">
      <c r="B7" s="216" t="str">
        <f>"Dénomination : "&amp;Accueil!C11&amp;""</f>
        <v xml:space="preserve">Dénomination : </v>
      </c>
    </row>
    <row r="8" spans="1:7" x14ac:dyDescent="0.25">
      <c r="B8" s="216"/>
    </row>
    <row r="9" spans="1:7" x14ac:dyDescent="0.25">
      <c r="B9" s="216" t="str">
        <f>"Téléphone : "&amp;Accueil!C13&amp;""</f>
        <v xml:space="preserve">Téléphone : </v>
      </c>
    </row>
    <row r="11" spans="1:7" x14ac:dyDescent="0.25">
      <c r="B11" s="218" t="s">
        <v>174</v>
      </c>
      <c r="C11">
        <f>Accueil!C18</f>
        <v>0</v>
      </c>
      <c r="D11" t="s">
        <v>7</v>
      </c>
    </row>
    <row r="13" spans="1:7" s="217" customFormat="1" ht="18.75" customHeight="1" x14ac:dyDescent="0.25">
      <c r="B13" s="217" t="s">
        <v>206</v>
      </c>
      <c r="C13" s="217">
        <f>Accueil!C20</f>
        <v>0</v>
      </c>
      <c r="D13" s="217" t="s">
        <v>7</v>
      </c>
    </row>
    <row r="14" spans="1:7" s="217" customFormat="1" ht="18.75" customHeight="1" x14ac:dyDescent="0.25">
      <c r="B14" s="217" t="s">
        <v>205</v>
      </c>
      <c r="C14" s="217">
        <f>Accueil!C22</f>
        <v>0</v>
      </c>
      <c r="D14" s="217" t="s">
        <v>7</v>
      </c>
    </row>
    <row r="15" spans="1:7" s="217" customFormat="1" ht="18.75" customHeight="1" x14ac:dyDescent="0.25">
      <c r="B15" s="217" t="s">
        <v>207</v>
      </c>
      <c r="C15" s="217">
        <f>Accueil!C24</f>
        <v>0</v>
      </c>
      <c r="D15" s="217" t="s">
        <v>7</v>
      </c>
    </row>
    <row r="16" spans="1:7" s="217" customFormat="1" ht="18.75" customHeight="1" x14ac:dyDescent="0.25">
      <c r="B16" s="217" t="s">
        <v>208</v>
      </c>
      <c r="C16" s="217">
        <f>Accueil!C26</f>
        <v>0</v>
      </c>
      <c r="D16" s="217" t="s">
        <v>7</v>
      </c>
    </row>
    <row r="17" spans="2:7" s="217" customFormat="1" ht="18.75" customHeight="1" x14ac:dyDescent="0.25">
      <c r="B17" s="217" t="s">
        <v>209</v>
      </c>
      <c r="C17" s="217">
        <f>Accueil!C28</f>
        <v>0</v>
      </c>
      <c r="D17" s="217" t="s">
        <v>7</v>
      </c>
    </row>
    <row r="20" spans="2:7" x14ac:dyDescent="0.25">
      <c r="B20" s="217" t="s">
        <v>213</v>
      </c>
      <c r="C20">
        <f>Accueil!F16</f>
        <v>0</v>
      </c>
      <c r="E20" s="217" t="s">
        <v>212</v>
      </c>
      <c r="F20">
        <f>Accueil!F18</f>
        <v>0</v>
      </c>
    </row>
    <row r="22" spans="2:7" x14ac:dyDescent="0.25">
      <c r="B22" s="217" t="s">
        <v>214</v>
      </c>
      <c r="C22">
        <f>'Besoins animaux'!F61+'Besoins animaux'!F50+'Besoins animaux'!F28</f>
        <v>0</v>
      </c>
    </row>
    <row r="23" spans="2:7" x14ac:dyDescent="0.25">
      <c r="B23" t="s">
        <v>210</v>
      </c>
      <c r="C23" t="e">
        <f>C11/C22</f>
        <v>#DIV/0!</v>
      </c>
    </row>
    <row r="26" spans="2:7" x14ac:dyDescent="0.25">
      <c r="B26" s="217" t="s">
        <v>215</v>
      </c>
    </row>
    <row r="27" spans="2:7" x14ac:dyDescent="0.25">
      <c r="B27" s="590"/>
      <c r="C27" s="590"/>
      <c r="D27" s="590"/>
      <c r="E27" s="590"/>
      <c r="F27" s="590"/>
      <c r="G27" s="590"/>
    </row>
    <row r="28" spans="2:7" x14ac:dyDescent="0.25">
      <c r="B28" s="590"/>
      <c r="C28" s="590"/>
      <c r="D28" s="590"/>
      <c r="E28" s="590"/>
      <c r="F28" s="590"/>
      <c r="G28" s="590"/>
    </row>
    <row r="29" spans="2:7" x14ac:dyDescent="0.25">
      <c r="B29" s="590"/>
      <c r="C29" s="590"/>
      <c r="D29" s="590"/>
      <c r="E29" s="590"/>
      <c r="F29" s="590"/>
      <c r="G29" s="590"/>
    </row>
    <row r="30" spans="2:7" ht="21.75" customHeight="1" x14ac:dyDescent="0.25">
      <c r="B30" s="590"/>
      <c r="C30" s="590"/>
      <c r="D30" s="590"/>
      <c r="E30" s="590"/>
      <c r="F30" s="590"/>
      <c r="G30" s="590"/>
    </row>
    <row r="32" spans="2:7" x14ac:dyDescent="0.25">
      <c r="B32" s="217" t="s">
        <v>211</v>
      </c>
    </row>
    <row r="33" spans="2:7" x14ac:dyDescent="0.25">
      <c r="B33" s="590"/>
      <c r="C33" s="590"/>
      <c r="D33" s="590"/>
      <c r="E33" s="590"/>
      <c r="F33" s="590"/>
      <c r="G33" s="590"/>
    </row>
    <row r="34" spans="2:7" x14ac:dyDescent="0.25">
      <c r="B34" s="590"/>
      <c r="C34" s="590"/>
      <c r="D34" s="590"/>
      <c r="E34" s="590"/>
      <c r="F34" s="590"/>
      <c r="G34" s="590"/>
    </row>
    <row r="35" spans="2:7" ht="28.5" customHeight="1" x14ac:dyDescent="0.25">
      <c r="B35" s="590"/>
      <c r="C35" s="590"/>
      <c r="D35" s="590"/>
      <c r="E35" s="590"/>
      <c r="F35" s="590"/>
      <c r="G35" s="590"/>
    </row>
    <row r="37" spans="2:7" x14ac:dyDescent="0.25">
      <c r="B37" s="217" t="s">
        <v>216</v>
      </c>
    </row>
    <row r="38" spans="2:7" x14ac:dyDescent="0.25">
      <c r="B38" s="590"/>
      <c r="C38" s="590"/>
      <c r="D38" s="590"/>
      <c r="E38" s="590"/>
      <c r="F38" s="590"/>
      <c r="G38" s="590"/>
    </row>
    <row r="39" spans="2:7" x14ac:dyDescent="0.25">
      <c r="B39" s="590"/>
      <c r="C39" s="590"/>
      <c r="D39" s="590"/>
      <c r="E39" s="590"/>
      <c r="F39" s="590"/>
      <c r="G39" s="590"/>
    </row>
    <row r="40" spans="2:7" x14ac:dyDescent="0.25">
      <c r="B40" s="590"/>
      <c r="C40" s="590"/>
      <c r="D40" s="590"/>
      <c r="E40" s="590"/>
      <c r="F40" s="590"/>
      <c r="G40" s="590"/>
    </row>
    <row r="41" spans="2:7" x14ac:dyDescent="0.25">
      <c r="B41" s="590"/>
      <c r="C41" s="590"/>
      <c r="D41" s="590"/>
      <c r="E41" s="590"/>
      <c r="F41" s="590"/>
      <c r="G41" s="590"/>
    </row>
    <row r="43" spans="2:7" x14ac:dyDescent="0.25">
      <c r="B43" s="217" t="s">
        <v>217</v>
      </c>
    </row>
    <row r="44" spans="2:7" x14ac:dyDescent="0.25">
      <c r="B44" s="591" t="str">
        <f>"A la sortie de l'hiver 2018, les stocks étaient de "&amp;'Report stocks_2018'!I57&amp;" tonnes de MS."</f>
        <v>A la sortie de l'hiver 2018, les stocks étaient de 0 tonnes de MS.</v>
      </c>
      <c r="C44" s="591"/>
      <c r="D44" s="591"/>
      <c r="E44" s="591"/>
      <c r="F44" s="591"/>
      <c r="G44" s="591"/>
    </row>
    <row r="45" spans="2:7" x14ac:dyDescent="0.25">
      <c r="B45" s="591"/>
      <c r="C45" s="591"/>
      <c r="D45" s="591"/>
      <c r="E45" s="591"/>
      <c r="F45" s="591"/>
      <c r="G45" s="591"/>
    </row>
    <row r="52" spans="2:24" ht="15.75" x14ac:dyDescent="0.25">
      <c r="D52" s="588" t="s">
        <v>181</v>
      </c>
      <c r="E52" s="588"/>
      <c r="F52" s="588" t="s">
        <v>182</v>
      </c>
      <c r="G52" s="588"/>
      <c r="L52" t="s">
        <v>235</v>
      </c>
      <c r="M52" s="235">
        <f>SUM('Consommation 2019'!I8:I11,'Consommation 2019'!I16:I27)</f>
        <v>0</v>
      </c>
      <c r="N52" s="235">
        <f>+ROUND(M52,2)</f>
        <v>0</v>
      </c>
      <c r="Q52">
        <f>'Besoins animaux'!F20*'Besoins animaux'!G20</f>
        <v>0</v>
      </c>
      <c r="U52">
        <f>'Besoins animaux'!D20</f>
        <v>0</v>
      </c>
      <c r="X52">
        <f>'Besoins animaux'!D20*'Besoins animaux'!G20</f>
        <v>0</v>
      </c>
    </row>
    <row r="53" spans="2:24" ht="17.25" x14ac:dyDescent="0.3">
      <c r="B53" s="592" t="s">
        <v>180</v>
      </c>
      <c r="C53" s="592"/>
      <c r="D53" s="593"/>
      <c r="E53" s="593"/>
      <c r="F53" s="593"/>
      <c r="G53" s="593"/>
      <c r="L53" t="s">
        <v>236</v>
      </c>
      <c r="M53" s="235">
        <f>SUM('Consommation 2019'!I12:I15)</f>
        <v>0</v>
      </c>
    </row>
    <row r="54" spans="2:24" x14ac:dyDescent="0.25">
      <c r="B54" s="594" t="s">
        <v>183</v>
      </c>
      <c r="C54" s="594"/>
      <c r="D54" s="593">
        <f>'Fourrages  2019'!M10+'Fourrages  2019'!M11</f>
        <v>0</v>
      </c>
      <c r="E54" s="593"/>
      <c r="F54" s="593">
        <f>'Fourrages  2019'!N10+'Fourrages  2019'!N11</f>
        <v>0</v>
      </c>
      <c r="G54" s="593"/>
      <c r="Q54">
        <f>'Besoins animaux'!F22*'Besoins animaux'!G22</f>
        <v>0</v>
      </c>
      <c r="U54">
        <f>'Besoins animaux'!D22</f>
        <v>0</v>
      </c>
      <c r="X54">
        <f>'Besoins animaux'!D22*'Besoins animaux'!G22</f>
        <v>0</v>
      </c>
    </row>
    <row r="55" spans="2:24" x14ac:dyDescent="0.25">
      <c r="B55" s="594" t="s">
        <v>186</v>
      </c>
      <c r="C55" s="594"/>
      <c r="D55" s="595" t="e">
        <f>(('Fourrages  2019'!G9*'Fourrages  2019'!M10)+('Fourrages  2019'!G13*'Fourrages  2019'!M11))/'impression (2)'!D54</f>
        <v>#DIV/0!</v>
      </c>
      <c r="E55" s="595"/>
      <c r="F55" s="593" t="e">
        <f>(('Fourrages  2019'!G11*'Fourrages  2019'!N10)+('Fourrages  2019'!G15*'Fourrages  2019'!N11))/'impression (2)'!F54:G54</f>
        <v>#DIV/0!</v>
      </c>
      <c r="G55" s="593"/>
      <c r="Q55">
        <f>'Besoins animaux'!F23*'Besoins animaux'!G23</f>
        <v>0</v>
      </c>
      <c r="U55">
        <f>'Besoins animaux'!D23</f>
        <v>0</v>
      </c>
      <c r="X55">
        <f>'Besoins animaux'!D23*'Besoins animaux'!G23</f>
        <v>0</v>
      </c>
    </row>
    <row r="56" spans="2:24" x14ac:dyDescent="0.25">
      <c r="B56" s="594" t="s">
        <v>184</v>
      </c>
      <c r="C56" s="594"/>
      <c r="D56" s="593">
        <f>'Fourrages  2019'!O10+'Fourrages  2019'!O11</f>
        <v>0</v>
      </c>
      <c r="E56" s="593"/>
      <c r="F56" s="593">
        <f>'Fourrages  2019'!P10+'Fourrages  2019'!P11</f>
        <v>0</v>
      </c>
      <c r="G56" s="593"/>
      <c r="Q56">
        <f>'Besoins animaux'!F24*'Besoins animaux'!G24</f>
        <v>0</v>
      </c>
      <c r="U56">
        <f>'Besoins animaux'!JD24</f>
        <v>0</v>
      </c>
      <c r="X56">
        <f>'Besoins animaux'!D24*'Besoins animaux'!G24</f>
        <v>0</v>
      </c>
    </row>
    <row r="57" spans="2:24" x14ac:dyDescent="0.25">
      <c r="B57" s="594" t="s">
        <v>187</v>
      </c>
      <c r="C57" s="594"/>
      <c r="D57" s="595" t="e">
        <f>(('Fourrages  2019'!O10*'Fourrages  2019'!G9)+('Fourrages  2019'!G13*'Fourrages  2019'!O11))/'impression (2)'!D56</f>
        <v>#DIV/0!</v>
      </c>
      <c r="E57" s="595"/>
      <c r="F57" s="593" t="e">
        <f>(('Fourrages  2019'!G11*'Fourrages  2019'!P10)+('Fourrages  2019'!P11*'Fourrages  2019'!G15))/'impression (2)'!F56:G56</f>
        <v>#DIV/0!</v>
      </c>
      <c r="G57" s="593"/>
    </row>
    <row r="58" spans="2:24" x14ac:dyDescent="0.25">
      <c r="B58" s="594" t="s">
        <v>185</v>
      </c>
      <c r="C58" s="594"/>
      <c r="D58" s="593">
        <f>'Fourrages  2019'!Q10+'Fourrages  2019'!Q11</f>
        <v>0</v>
      </c>
      <c r="E58" s="593"/>
      <c r="F58" s="593">
        <f>'Fourrages  2019'!R10+'Fourrages  2019'!R11</f>
        <v>0</v>
      </c>
      <c r="G58" s="593"/>
      <c r="Q58">
        <f>'Besoins animaux'!F26*'Besoins animaux'!G26</f>
        <v>0</v>
      </c>
      <c r="U58">
        <f>'Besoins animaux'!D26</f>
        <v>0</v>
      </c>
      <c r="X58">
        <f>'Besoins animaux'!D26*'Besoins animaux'!G26</f>
        <v>0</v>
      </c>
    </row>
    <row r="59" spans="2:24" x14ac:dyDescent="0.25">
      <c r="B59" s="594" t="s">
        <v>188</v>
      </c>
      <c r="C59" s="594"/>
      <c r="D59" s="595">
        <f>(('Fourrages  2019'!Q10*'Fourrages  2019'!G9)+('Fourrages  2019'!Q11*'Fourrages  2019'!G13))/1000</f>
        <v>0</v>
      </c>
      <c r="E59" s="595"/>
      <c r="F59" s="593" t="e">
        <f>(('Fourrages  2019'!G11*'Fourrages  2019'!R10)+('Fourrages  2019'!R11*'Fourrages  2019'!G15))/'impression (2)'!F58:G58</f>
        <v>#DIV/0!</v>
      </c>
      <c r="G59" s="593"/>
      <c r="N59" t="e">
        <f>(N52*100)/T137</f>
        <v>#DIV/0!</v>
      </c>
    </row>
    <row r="60" spans="2:24" x14ac:dyDescent="0.25">
      <c r="B60" s="594" t="s">
        <v>189</v>
      </c>
      <c r="C60" s="594"/>
      <c r="D60" s="593">
        <f>'Report stocks_2018'!H25</f>
        <v>0</v>
      </c>
      <c r="E60" s="593"/>
      <c r="F60" s="593">
        <f>'Fourrages  2019'!H27</f>
        <v>0</v>
      </c>
      <c r="G60" s="593"/>
      <c r="N60">
        <f>IFERROR(+ROUND(N59,2),0)</f>
        <v>0</v>
      </c>
      <c r="O60">
        <f>IFERROR(N60,0)</f>
        <v>0</v>
      </c>
    </row>
    <row r="61" spans="2:24" x14ac:dyDescent="0.25">
      <c r="B61" s="594" t="s">
        <v>190</v>
      </c>
      <c r="C61" s="594"/>
      <c r="D61" s="593">
        <f>'Fourrages  2019'!G25</f>
        <v>0</v>
      </c>
      <c r="E61" s="593"/>
      <c r="F61" s="593">
        <f>'Fourrages  2019'!G27</f>
        <v>600</v>
      </c>
      <c r="G61" s="593"/>
    </row>
    <row r="62" spans="2:24" x14ac:dyDescent="0.25">
      <c r="B62" s="594" t="s">
        <v>222</v>
      </c>
      <c r="C62" s="594"/>
      <c r="D62" s="596" t="e">
        <f>'Fourrages  2019'!I28:I29</f>
        <v>#VALUE!</v>
      </c>
      <c r="E62" s="593"/>
      <c r="F62" s="596" t="e">
        <f>'Fourrages  2019'!I28:I29</f>
        <v>#VALUE!</v>
      </c>
      <c r="G62" s="593"/>
    </row>
    <row r="63" spans="2:24" x14ac:dyDescent="0.25">
      <c r="B63" s="594" t="s">
        <v>192</v>
      </c>
      <c r="C63" s="594"/>
      <c r="D63" s="593"/>
      <c r="E63" s="593"/>
      <c r="F63" s="593"/>
      <c r="G63" s="593"/>
    </row>
    <row r="64" spans="2:24" x14ac:dyDescent="0.25">
      <c r="B64" s="594"/>
      <c r="C64" s="594"/>
      <c r="D64" s="593"/>
      <c r="E64" s="593"/>
      <c r="F64" s="593"/>
      <c r="G64" s="593"/>
    </row>
    <row r="65" spans="2:24" ht="17.25" x14ac:dyDescent="0.3">
      <c r="B65" s="592" t="s">
        <v>193</v>
      </c>
      <c r="C65" s="592"/>
      <c r="D65" s="593"/>
      <c r="E65" s="593"/>
      <c r="F65" s="593"/>
      <c r="G65" s="593"/>
      <c r="M65" t="str">
        <f>IF('Bilan 2'!I23&gt;0,"excédent","déficit")</f>
        <v>déficit</v>
      </c>
    </row>
    <row r="66" spans="2:24" x14ac:dyDescent="0.25">
      <c r="B66" s="594" t="s">
        <v>194</v>
      </c>
      <c r="C66" s="594"/>
      <c r="D66" s="593">
        <f>Accueil!C39</f>
        <v>0</v>
      </c>
      <c r="E66" s="593"/>
      <c r="F66" s="593">
        <f>Accueil!D39</f>
        <v>0</v>
      </c>
      <c r="G66" s="593"/>
      <c r="M66" t="str">
        <f>M65</f>
        <v>déficit</v>
      </c>
      <c r="Q66">
        <f>'Besoins animaux'!F34*'Besoins animaux'!G34</f>
        <v>0</v>
      </c>
      <c r="U66">
        <f>'Besoins animaux'!D34</f>
        <v>0</v>
      </c>
      <c r="X66">
        <f>'Besoins animaux'!D34*'Besoins animaux'!G34</f>
        <v>0</v>
      </c>
    </row>
    <row r="67" spans="2:24" x14ac:dyDescent="0.25">
      <c r="B67" s="594" t="s">
        <v>195</v>
      </c>
      <c r="C67" s="594"/>
      <c r="D67" s="593">
        <f>Accueil!C41</f>
        <v>0</v>
      </c>
      <c r="E67" s="593"/>
      <c r="F67" s="593">
        <f>Accueil!D41</f>
        <v>0</v>
      </c>
      <c r="G67" s="593"/>
    </row>
    <row r="68" spans="2:24" x14ac:dyDescent="0.25">
      <c r="B68" s="594" t="s">
        <v>196</v>
      </c>
      <c r="C68" s="594"/>
      <c r="D68" s="593">
        <f>Accueil!C43</f>
        <v>0</v>
      </c>
      <c r="E68" s="593"/>
      <c r="F68" s="593">
        <f>Accueil!D43</f>
        <v>0</v>
      </c>
      <c r="G68" s="593"/>
      <c r="Q68">
        <f>'Besoins animaux'!F36*'Besoins animaux'!G36</f>
        <v>0</v>
      </c>
      <c r="U68">
        <f>'Besoins animaux'!D36</f>
        <v>0</v>
      </c>
      <c r="X68">
        <f>'Besoins animaux'!D36*'Besoins animaux'!G36</f>
        <v>0</v>
      </c>
    </row>
    <row r="69" spans="2:24" x14ac:dyDescent="0.25">
      <c r="B69" s="594" t="s">
        <v>197</v>
      </c>
      <c r="C69" s="594"/>
      <c r="D69" s="593">
        <f>Accueil!C45</f>
        <v>0</v>
      </c>
      <c r="E69" s="593"/>
      <c r="F69" s="593">
        <f>Accueil!D45</f>
        <v>0</v>
      </c>
      <c r="G69" s="593"/>
      <c r="Q69">
        <f>'Besoins animaux'!F37*'Besoins animaux'!G37</f>
        <v>0</v>
      </c>
      <c r="U69">
        <f>'Besoins animaux'!D37</f>
        <v>0</v>
      </c>
      <c r="X69">
        <f>'Besoins animaux'!D37*'Besoins animaux'!G37</f>
        <v>0</v>
      </c>
    </row>
    <row r="70" spans="2:24" x14ac:dyDescent="0.25">
      <c r="B70" s="594" t="s">
        <v>198</v>
      </c>
      <c r="C70" s="594"/>
      <c r="D70" s="593">
        <f>Accueil!C47</f>
        <v>0</v>
      </c>
      <c r="E70" s="593"/>
      <c r="F70" s="593">
        <f>Accueil!D47</f>
        <v>0</v>
      </c>
      <c r="G70" s="593"/>
      <c r="Q70">
        <f>'Besoins animaux'!F38*'Besoins animaux'!G38</f>
        <v>0</v>
      </c>
      <c r="U70">
        <f>'Besoins animaux'!D38</f>
        <v>0</v>
      </c>
      <c r="X70">
        <f>'Besoins animaux'!D38*'Besoins animaux'!G38</f>
        <v>0</v>
      </c>
    </row>
    <row r="71" spans="2:24" x14ac:dyDescent="0.25">
      <c r="B71" s="593"/>
      <c r="C71" s="593"/>
      <c r="D71" s="593"/>
      <c r="E71" s="593"/>
      <c r="F71" s="593"/>
      <c r="G71" s="593"/>
    </row>
    <row r="72" spans="2:24" ht="17.25" x14ac:dyDescent="0.3">
      <c r="B72" s="223" t="s">
        <v>199</v>
      </c>
      <c r="C72" s="151"/>
      <c r="D72" s="593"/>
      <c r="E72" s="593"/>
      <c r="F72" s="593"/>
      <c r="G72" s="593"/>
      <c r="Q72">
        <f>'Besoins animaux'!F40*'Besoins animaux'!G40</f>
        <v>0</v>
      </c>
      <c r="U72">
        <f>'Besoins animaux'!D40</f>
        <v>0</v>
      </c>
      <c r="X72">
        <f>'Besoins animaux'!D40*'Besoins animaux'!G40</f>
        <v>0</v>
      </c>
    </row>
    <row r="73" spans="2:24" x14ac:dyDescent="0.25">
      <c r="B73" s="594" t="s">
        <v>200</v>
      </c>
      <c r="C73" s="594"/>
      <c r="D73" s="593">
        <f>Accueil!C30</f>
        <v>0</v>
      </c>
      <c r="E73" s="593"/>
      <c r="F73" s="593"/>
      <c r="G73" s="593"/>
    </row>
    <row r="74" spans="2:24" x14ac:dyDescent="0.25">
      <c r="B74" s="594" t="s">
        <v>201</v>
      </c>
      <c r="C74" s="594"/>
      <c r="D74" s="593"/>
      <c r="E74" s="593"/>
      <c r="F74" s="593"/>
      <c r="G74" s="593"/>
      <c r="Q74">
        <f>'Besoins animaux'!F42*'Besoins animaux'!G42</f>
        <v>0</v>
      </c>
      <c r="U74">
        <f>'Besoins animaux'!D42</f>
        <v>0</v>
      </c>
      <c r="X74">
        <f>'Besoins animaux'!D42*'Besoins animaux'!G42</f>
        <v>0</v>
      </c>
    </row>
    <row r="75" spans="2:24" x14ac:dyDescent="0.25">
      <c r="B75" s="594" t="s">
        <v>192</v>
      </c>
      <c r="C75" s="594"/>
      <c r="D75" s="593"/>
      <c r="E75" s="593"/>
      <c r="F75" s="593"/>
      <c r="G75" s="593"/>
    </row>
    <row r="76" spans="2:24" x14ac:dyDescent="0.25">
      <c r="B76" s="594" t="s">
        <v>202</v>
      </c>
      <c r="C76" s="594"/>
      <c r="D76" s="596" t="e">
        <f>'Fourrages  2019'!I32:I33</f>
        <v>#VALUE!</v>
      </c>
      <c r="E76" s="593"/>
      <c r="F76" s="596" t="e">
        <f>'Fourrages  2019'!I34:I35</f>
        <v>#VALUE!</v>
      </c>
      <c r="G76" s="593"/>
      <c r="Q76">
        <f>'Besoins animaux'!F44*'Besoins animaux'!G44</f>
        <v>0</v>
      </c>
      <c r="U76">
        <f>'Besoins animaux'!D44</f>
        <v>0</v>
      </c>
      <c r="X76">
        <f>'Besoins animaux'!D44*'Besoins animaux'!G44</f>
        <v>0</v>
      </c>
    </row>
    <row r="77" spans="2:24" x14ac:dyDescent="0.25">
      <c r="B77" s="593"/>
      <c r="C77" s="593"/>
      <c r="D77" s="593"/>
      <c r="E77" s="593"/>
      <c r="F77" s="593"/>
      <c r="G77" s="593"/>
    </row>
    <row r="78" spans="2:24" ht="17.25" x14ac:dyDescent="0.3">
      <c r="B78" s="592" t="s">
        <v>203</v>
      </c>
      <c r="C78" s="592"/>
      <c r="D78" s="593"/>
      <c r="E78" s="593"/>
      <c r="F78" s="593"/>
      <c r="G78" s="593"/>
      <c r="Q78">
        <f>'Besoins animaux'!F46*'Besoins animaux'!G46</f>
        <v>0</v>
      </c>
      <c r="U78">
        <f>'Besoins animaux'!D46</f>
        <v>0</v>
      </c>
      <c r="X78">
        <f>'Besoins animaux'!D46*'Besoins animaux'!G46</f>
        <v>0</v>
      </c>
    </row>
    <row r="79" spans="2:24" x14ac:dyDescent="0.25">
      <c r="B79" s="594" t="s">
        <v>200</v>
      </c>
      <c r="C79" s="594"/>
      <c r="D79" s="593"/>
      <c r="E79" s="593"/>
      <c r="F79" s="593"/>
      <c r="G79" s="593"/>
    </row>
    <row r="80" spans="2:24" x14ac:dyDescent="0.25">
      <c r="B80" s="594" t="s">
        <v>111</v>
      </c>
      <c r="C80" s="594"/>
      <c r="D80" s="593"/>
      <c r="E80" s="593"/>
      <c r="F80" s="593"/>
      <c r="G80" s="593"/>
      <c r="Q80">
        <f>'Besoins animaux'!F48*'Besoins animaux'!G48</f>
        <v>0</v>
      </c>
      <c r="U80">
        <f>'Besoins animaux'!D48</f>
        <v>0</v>
      </c>
      <c r="X80">
        <f>'Besoins animaux'!D48*'Besoins animaux'!G48</f>
        <v>0</v>
      </c>
    </row>
    <row r="81" spans="2:25" x14ac:dyDescent="0.25">
      <c r="B81" s="594" t="s">
        <v>44</v>
      </c>
      <c r="C81" s="594"/>
      <c r="D81" s="593"/>
      <c r="E81" s="593"/>
      <c r="F81" s="593"/>
      <c r="G81" s="593"/>
    </row>
    <row r="82" spans="2:25" x14ac:dyDescent="0.25">
      <c r="B82" s="594" t="s">
        <v>202</v>
      </c>
      <c r="C82" s="594"/>
      <c r="D82" s="596" t="e">
        <f>'Fourrages  2019'!I44:I45+'Fourrages  2019'!I40:I41+'Fourrages  2019'!I36:I37</f>
        <v>#VALUE!</v>
      </c>
      <c r="E82" s="593"/>
      <c r="F82" s="597" t="e">
        <f>'Fourrages  2019'!I46:I47+'Fourrages  2019'!I42:I43+'Fourrages  2019'!I38:I39</f>
        <v>#VALUE!</v>
      </c>
      <c r="G82" s="593"/>
    </row>
    <row r="85" spans="2:25" x14ac:dyDescent="0.25">
      <c r="B85" s="217" t="s">
        <v>221</v>
      </c>
    </row>
    <row r="86" spans="2:25" x14ac:dyDescent="0.25">
      <c r="B86" s="598" t="str">
        <f>""&amp;'Fourrages  2019'!L96&amp;" t de MS ont été achetés en fourrage au lieu de "&amp;'Fourrages  2019'!L97&amp;" t habituellement et  "&amp;'Fourrages  2019'!L99&amp;" t de MS en paille au lieu de "&amp;'Fourrages  2019'!L100&amp;" t habituellement."</f>
        <v>0 t de MS ont été achetés en fourrage au lieu de 0 t habituellement et  0 t de MS en paille au lieu de 0 t habituellement.</v>
      </c>
      <c r="C86" s="599"/>
      <c r="D86" s="599"/>
      <c r="E86" s="599"/>
      <c r="F86" s="599"/>
      <c r="G86" s="600"/>
    </row>
    <row r="87" spans="2:25" x14ac:dyDescent="0.25">
      <c r="B87" s="601"/>
      <c r="C87" s="602"/>
      <c r="D87" s="602"/>
      <c r="E87" s="602"/>
      <c r="F87" s="602"/>
      <c r="G87" s="603"/>
    </row>
    <row r="88" spans="2:25" x14ac:dyDescent="0.25">
      <c r="B88" s="601"/>
      <c r="C88" s="602"/>
      <c r="D88" s="602"/>
      <c r="E88" s="602"/>
      <c r="F88" s="602"/>
      <c r="G88" s="603"/>
    </row>
    <row r="89" spans="2:25" x14ac:dyDescent="0.25">
      <c r="B89" s="601"/>
      <c r="C89" s="602"/>
      <c r="D89" s="602"/>
      <c r="E89" s="602"/>
      <c r="F89" s="602"/>
      <c r="G89" s="603"/>
      <c r="Q89">
        <f>'Besoins animaux'!F57*'Besoins animaux'!G57</f>
        <v>0</v>
      </c>
      <c r="U89">
        <f>'Besoins animaux'!D57</f>
        <v>0</v>
      </c>
      <c r="X89">
        <f>'Besoins animaux'!D57*'Besoins animaux'!G57</f>
        <v>0</v>
      </c>
    </row>
    <row r="90" spans="2:25" x14ac:dyDescent="0.25">
      <c r="B90" s="604"/>
      <c r="C90" s="605"/>
      <c r="D90" s="605"/>
      <c r="E90" s="605"/>
      <c r="F90" s="605"/>
      <c r="G90" s="606"/>
    </row>
    <row r="91" spans="2:25" x14ac:dyDescent="0.25">
      <c r="Q91">
        <f>'Besoins animaux'!F59*'Besoins animaux'!G59</f>
        <v>0</v>
      </c>
      <c r="U91">
        <f>'Besoins animaux'!D59</f>
        <v>0</v>
      </c>
      <c r="X91">
        <f>'Besoins animaux'!D59*'Besoins animaux'!G59</f>
        <v>0</v>
      </c>
    </row>
    <row r="94" spans="2:25" x14ac:dyDescent="0.25">
      <c r="P94" t="s">
        <v>238</v>
      </c>
      <c r="Q94">
        <f>SUM(Q52:Q91)</f>
        <v>0</v>
      </c>
      <c r="S94">
        <f>('Besoins animaux'!F61+'Besoins animaux'!F50+'Besoins animaux'!F28)</f>
        <v>0</v>
      </c>
      <c r="T94" t="s">
        <v>16</v>
      </c>
      <c r="U94">
        <f>SUM(U52:U91)</f>
        <v>0</v>
      </c>
      <c r="V94" t="s">
        <v>251</v>
      </c>
      <c r="X94">
        <f>SUM(X52:X91)</f>
        <v>0</v>
      </c>
      <c r="Y94" t="s">
        <v>252</v>
      </c>
    </row>
    <row r="95" spans="2:25" x14ac:dyDescent="0.25">
      <c r="L95">
        <f>'Besoins animaux'!D13</f>
        <v>12</v>
      </c>
      <c r="M95" t="s">
        <v>253</v>
      </c>
    </row>
    <row r="98" spans="8:18" x14ac:dyDescent="0.25">
      <c r="O98" t="s">
        <v>239</v>
      </c>
      <c r="P98" t="e">
        <f>X94/U94</f>
        <v>#DIV/0!</v>
      </c>
    </row>
    <row r="99" spans="8:18" x14ac:dyDescent="0.25">
      <c r="P99" t="e">
        <f>+ROUND(P98,2)</f>
        <v>#DIV/0!</v>
      </c>
    </row>
    <row r="101" spans="8:18" x14ac:dyDescent="0.25">
      <c r="Q101" t="e">
        <f>Q94/('Besoins animaux'!G20+'Besoins animaux'!G22+'Besoins animaux'!G23+'Besoins animaux'!G24+'Besoins animaux'!G26+'Besoins animaux'!G34+'Besoins animaux'!G36+'Besoins animaux'!G37+'Besoins animaux'!G38+'Besoins animaux'!G40+'Besoins animaux'!G42+'Besoins animaux'!G44+'Besoins animaux'!G46+'Besoins animaux'!G57+'Besoins animaux'!G59)</f>
        <v>#DIV/0!</v>
      </c>
    </row>
    <row r="102" spans="8:18" x14ac:dyDescent="0.25">
      <c r="L102" t="s">
        <v>240</v>
      </c>
      <c r="M102" t="e">
        <f>S94*G137*L95</f>
        <v>#VALUE!</v>
      </c>
    </row>
    <row r="104" spans="8:18" x14ac:dyDescent="0.25">
      <c r="M104" t="e">
        <f>M102/1000</f>
        <v>#VALUE!</v>
      </c>
      <c r="P104">
        <v>105.65</v>
      </c>
      <c r="R104">
        <v>23</v>
      </c>
    </row>
    <row r="105" spans="8:18" x14ac:dyDescent="0.25">
      <c r="M105" t="e">
        <f>+ROUND(M104,2)</f>
        <v>#VALUE!</v>
      </c>
    </row>
    <row r="106" spans="8:18" x14ac:dyDescent="0.25">
      <c r="P106">
        <f>(P104*R106)/R104</f>
        <v>91.869565217391298</v>
      </c>
      <c r="R106">
        <v>20</v>
      </c>
    </row>
    <row r="109" spans="8:18" x14ac:dyDescent="0.25">
      <c r="P109">
        <f>(120*23)/20</f>
        <v>138</v>
      </c>
    </row>
    <row r="110" spans="8:18" x14ac:dyDescent="0.25">
      <c r="H110" t="s">
        <v>254</v>
      </c>
      <c r="I110">
        <f>Accueil!C13</f>
        <v>0</v>
      </c>
      <c r="M110" s="235">
        <f>T137-'impression (2)'!N52</f>
        <v>0</v>
      </c>
    </row>
    <row r="111" spans="8:18" x14ac:dyDescent="0.25">
      <c r="I111">
        <f>+ROUND(I110,0)</f>
        <v>0</v>
      </c>
      <c r="M111" s="235">
        <f>+ROUND(M110,2)</f>
        <v>0</v>
      </c>
    </row>
    <row r="112" spans="8:18" x14ac:dyDescent="0.25">
      <c r="I112" s="324">
        <f>I111</f>
        <v>0</v>
      </c>
    </row>
    <row r="115" spans="11:20" x14ac:dyDescent="0.25">
      <c r="M115" t="e">
        <f>(M111*100)/'Bilan 2'!D42</f>
        <v>#DIV/0!</v>
      </c>
    </row>
    <row r="116" spans="11:20" x14ac:dyDescent="0.25">
      <c r="M116" t="e">
        <f>+ROUND(M115,2)</f>
        <v>#DIV/0!</v>
      </c>
    </row>
    <row r="117" spans="11:20" x14ac:dyDescent="0.25">
      <c r="Q117" t="s">
        <v>247</v>
      </c>
    </row>
    <row r="118" spans="11:20" x14ac:dyDescent="0.25">
      <c r="Q118">
        <f>'Bilan 2'!D42</f>
        <v>0</v>
      </c>
    </row>
    <row r="119" spans="11:20" x14ac:dyDescent="0.25">
      <c r="Q119">
        <f>+ROUND(Q118,2)</f>
        <v>0</v>
      </c>
    </row>
    <row r="121" spans="11:20" x14ac:dyDescent="0.25">
      <c r="M121" t="e">
        <f>(100*M111)/M105</f>
        <v>#VALUE!</v>
      </c>
    </row>
    <row r="122" spans="11:20" x14ac:dyDescent="0.25">
      <c r="M122" t="e">
        <f>+ROUND(M121,2)</f>
        <v>#VALUE!</v>
      </c>
    </row>
    <row r="124" spans="11:20" x14ac:dyDescent="0.25">
      <c r="M124" s="235" t="e">
        <f>M105-(T137+N52)</f>
        <v>#VALUE!</v>
      </c>
      <c r="Q124" t="s">
        <v>248</v>
      </c>
    </row>
    <row r="125" spans="11:20" x14ac:dyDescent="0.25">
      <c r="M125" s="235" t="e">
        <f>+ROUND(M124,2)</f>
        <v>#VALUE!</v>
      </c>
      <c r="P125" s="235">
        <f>Q125</f>
        <v>0</v>
      </c>
      <c r="Q125" s="235">
        <f>'Bilan 2'!J14</f>
        <v>0</v>
      </c>
      <c r="T125" t="s">
        <v>268</v>
      </c>
    </row>
    <row r="126" spans="11:20" x14ac:dyDescent="0.25">
      <c r="Q126" s="235">
        <f>+ROUND(Q125,2)</f>
        <v>0</v>
      </c>
      <c r="S126" s="235">
        <f>Q126-'Bilan 2'!J7</f>
        <v>0</v>
      </c>
      <c r="T126" s="235">
        <f>+ROUND(S126,2)</f>
        <v>0</v>
      </c>
    </row>
    <row r="127" spans="11:20" x14ac:dyDescent="0.25">
      <c r="K127" t="e">
        <f>IF(M125&gt;0,"manque","surplus")</f>
        <v>#VALUE!</v>
      </c>
    </row>
    <row r="129" spans="5:22" x14ac:dyDescent="0.25">
      <c r="P129" t="s">
        <v>250</v>
      </c>
      <c r="R129" s="235">
        <f>T137-Q119</f>
        <v>0</v>
      </c>
    </row>
    <row r="130" spans="5:22" x14ac:dyDescent="0.25">
      <c r="R130" s="235">
        <f>+ROUND(R129,2)</f>
        <v>0</v>
      </c>
    </row>
    <row r="132" spans="5:22" x14ac:dyDescent="0.25">
      <c r="E132" s="344">
        <f>Accueil!C7</f>
        <v>0</v>
      </c>
      <c r="G132" t="str">
        <f>TEXT(E132,"jj/mm/aaaa")</f>
        <v>00/01/1900</v>
      </c>
    </row>
    <row r="133" spans="5:22" x14ac:dyDescent="0.25">
      <c r="G133" t="str">
        <f>G132</f>
        <v>00/01/1900</v>
      </c>
    </row>
    <row r="135" spans="5:22" x14ac:dyDescent="0.25">
      <c r="O135" t="s">
        <v>269</v>
      </c>
      <c r="P135" t="e">
        <f>(T137*100)/Q119</f>
        <v>#DIV/0!</v>
      </c>
      <c r="T135">
        <f>IF(V135=TRUE,Q126,T126)</f>
        <v>0</v>
      </c>
      <c r="V135" t="b">
        <f>'Bilan 2'!K18</f>
        <v>1</v>
      </c>
    </row>
    <row r="136" spans="5:22" x14ac:dyDescent="0.25">
      <c r="E136" s="344">
        <f>Accueil!D39</f>
        <v>0</v>
      </c>
      <c r="G136" s="344" t="e">
        <f>I154-E132</f>
        <v>#VALUE!</v>
      </c>
      <c r="P136" t="e">
        <f>+ROUND(P135,2)</f>
        <v>#DIV/0!</v>
      </c>
    </row>
    <row r="137" spans="5:22" x14ac:dyDescent="0.25">
      <c r="G137" t="e">
        <f>G136</f>
        <v>#VALUE!</v>
      </c>
      <c r="T137">
        <f>+ROUND(T135,2)</f>
        <v>0</v>
      </c>
    </row>
    <row r="140" spans="5:22" x14ac:dyDescent="0.25">
      <c r="E140" t="str">
        <f>TEXT(E136,"jj/mm/aaaa")</f>
        <v>00/01/1900</v>
      </c>
    </row>
    <row r="141" spans="5:22" x14ac:dyDescent="0.25">
      <c r="E141" t="str">
        <f>E140</f>
        <v>00/01/1900</v>
      </c>
      <c r="G141" s="344">
        <v>43831</v>
      </c>
    </row>
    <row r="142" spans="5:22" x14ac:dyDescent="0.25">
      <c r="J142" t="e">
        <f>G137^2</f>
        <v>#VALUE!</v>
      </c>
    </row>
    <row r="143" spans="5:22" x14ac:dyDescent="0.25">
      <c r="J143" t="e">
        <f>SQRT(J142)</f>
        <v>#VALUE!</v>
      </c>
    </row>
    <row r="144" spans="5:22" x14ac:dyDescent="0.25">
      <c r="E144">
        <v>55</v>
      </c>
    </row>
    <row r="148" spans="3:13" x14ac:dyDescent="0.25">
      <c r="C148" s="354" t="str">
        <f>E141</f>
        <v>00/01/1900</v>
      </c>
      <c r="E148" t="e">
        <f>E141+731</f>
        <v>#VALUE!</v>
      </c>
      <c r="I148" t="str">
        <f>IF(E136&gt;E132,E136,I154)</f>
        <v>00/01/1920</v>
      </c>
    </row>
    <row r="149" spans="3:13" x14ac:dyDescent="0.25">
      <c r="E149" s="344" t="e">
        <f>E148</f>
        <v>#VALUE!</v>
      </c>
      <c r="I149" s="344" t="str">
        <f>I148</f>
        <v>00/01/1920</v>
      </c>
    </row>
    <row r="150" spans="3:13" x14ac:dyDescent="0.25">
      <c r="I150" t="str">
        <f>TEXT(I149,"jj/mm/aaaa")</f>
        <v>00/01/1920</v>
      </c>
    </row>
    <row r="153" spans="3:13" x14ac:dyDescent="0.25">
      <c r="I153" t="str">
        <f>REPLACE(E141,9,2,20)</f>
        <v>00/01/1920</v>
      </c>
    </row>
    <row r="154" spans="3:13" x14ac:dyDescent="0.25">
      <c r="I154" t="str">
        <f>I153</f>
        <v>00/01/1920</v>
      </c>
    </row>
    <row r="158" spans="3:13" x14ac:dyDescent="0.25">
      <c r="M158" s="344">
        <f>Accueil!D39</f>
        <v>0</v>
      </c>
    </row>
  </sheetData>
  <sheetProtection password="E909" sheet="1" objects="1" scenarios="1" selectLockedCells="1"/>
  <mergeCells count="97">
    <mergeCell ref="B82:C82"/>
    <mergeCell ref="D82:E82"/>
    <mergeCell ref="F82:G82"/>
    <mergeCell ref="B86:G90"/>
    <mergeCell ref="B80:C80"/>
    <mergeCell ref="D80:E80"/>
    <mergeCell ref="F80:G80"/>
    <mergeCell ref="B81:C81"/>
    <mergeCell ref="D81:E81"/>
    <mergeCell ref="F81:G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3:C73"/>
    <mergeCell ref="D73:E73"/>
    <mergeCell ref="F73:G73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D72:E72"/>
    <mergeCell ref="F72:G72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D52:E52"/>
    <mergeCell ref="F52:G52"/>
    <mergeCell ref="A2:G2"/>
    <mergeCell ref="B27:G30"/>
    <mergeCell ref="B33:G35"/>
    <mergeCell ref="B38:G41"/>
    <mergeCell ref="B44:G45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showGridLines="0" topLeftCell="A18" workbookViewId="0">
      <selection activeCell="K18" sqref="K18"/>
    </sheetView>
  </sheetViews>
  <sheetFormatPr baseColWidth="10" defaultRowHeight="15" x14ac:dyDescent="0.25"/>
  <cols>
    <col min="1" max="1" width="4.5703125" customWidth="1"/>
    <col min="2" max="2" width="7.5703125" customWidth="1"/>
    <col min="3" max="3" width="30.140625" customWidth="1"/>
    <col min="4" max="4" width="15.7109375" customWidth="1"/>
    <col min="5" max="11" width="12.42578125" customWidth="1"/>
  </cols>
  <sheetData>
    <row r="2" spans="1:12" ht="26.25" x14ac:dyDescent="0.4">
      <c r="B2" s="183" t="s">
        <v>160</v>
      </c>
      <c r="C2" s="184"/>
    </row>
    <row r="3" spans="1:12" ht="15.75" thickBot="1" x14ac:dyDescent="0.3"/>
    <row r="4" spans="1:12" ht="42.75" customHeight="1" thickBot="1" x14ac:dyDescent="0.3">
      <c r="D4" s="613" t="s">
        <v>125</v>
      </c>
      <c r="E4" s="610"/>
      <c r="F4" s="611" t="s">
        <v>124</v>
      </c>
      <c r="G4" s="612"/>
      <c r="H4" s="609" t="s">
        <v>123</v>
      </c>
      <c r="I4" s="610"/>
      <c r="J4" s="607" t="s">
        <v>122</v>
      </c>
      <c r="K4" s="608"/>
    </row>
    <row r="5" spans="1:12" ht="26.25" thickBot="1" x14ac:dyDescent="0.35">
      <c r="B5" s="92"/>
      <c r="C5" s="92"/>
      <c r="D5" s="156">
        <v>2019</v>
      </c>
      <c r="E5" s="157" t="s">
        <v>151</v>
      </c>
      <c r="F5" s="158">
        <v>2019</v>
      </c>
      <c r="G5" s="155" t="s">
        <v>151</v>
      </c>
      <c r="H5" s="158">
        <v>2019</v>
      </c>
      <c r="I5" s="155" t="s">
        <v>151</v>
      </c>
      <c r="J5" s="159">
        <v>2019</v>
      </c>
      <c r="K5" s="154" t="s">
        <v>151</v>
      </c>
    </row>
    <row r="6" spans="1:12" ht="16.5" x14ac:dyDescent="0.3">
      <c r="B6" s="163"/>
      <c r="C6" s="167" t="str">
        <f>'Fourrages  2019'!B8</f>
        <v>FOINS</v>
      </c>
      <c r="D6" s="152">
        <f>'Fourrages  2019'!I8+'Fourrages  2019'!I12</f>
        <v>0</v>
      </c>
      <c r="E6" s="171">
        <f>'Fourrages  2019'!I10+'Fourrages  2019'!I14</f>
        <v>0</v>
      </c>
      <c r="F6" s="152">
        <f>'Fourrages  2019'!I52</f>
        <v>0</v>
      </c>
      <c r="G6" s="171">
        <f>'Fourrages  2019'!I54</f>
        <v>0</v>
      </c>
      <c r="H6" s="152">
        <f>'Fourrages  2019'!I87+'Fourrages  2019'!I91</f>
        <v>0</v>
      </c>
      <c r="I6" s="171">
        <f>'Fourrages  2019'!I89+'Fourrages  2019'!I93</f>
        <v>0</v>
      </c>
      <c r="J6" s="160">
        <f>D6+F6+H6</f>
        <v>0</v>
      </c>
      <c r="K6" s="180">
        <f>E6+G6+I6</f>
        <v>0</v>
      </c>
    </row>
    <row r="7" spans="1:12" ht="16.5" x14ac:dyDescent="0.3">
      <c r="B7" s="163"/>
      <c r="C7" s="168" t="str">
        <f>'Fourrages  2019'!B16</f>
        <v>PAILLE</v>
      </c>
      <c r="D7" s="153">
        <f>'Fourrages  2019'!I16+'Fourrages  2019'!I20</f>
        <v>0</v>
      </c>
      <c r="E7" s="172">
        <f>'Fourrages  2019'!I18+'Fourrages  2019'!I22</f>
        <v>0</v>
      </c>
      <c r="F7" s="152">
        <f>'Fourrages  2019'!I56</f>
        <v>0</v>
      </c>
      <c r="G7" s="171">
        <f>'Fourrages  2019'!I58</f>
        <v>0</v>
      </c>
      <c r="H7" s="152">
        <f>'Fourrages  2019'!I95+'Fourrages  2019'!I99</f>
        <v>0</v>
      </c>
      <c r="I7" s="171">
        <f>'Fourrages  2019'!I97+'Fourrages  2019'!I101</f>
        <v>0</v>
      </c>
      <c r="J7" s="161">
        <f>D7+F7+H7</f>
        <v>0</v>
      </c>
      <c r="K7" s="181">
        <f>E7+G7+I7</f>
        <v>0</v>
      </c>
    </row>
    <row r="8" spans="1:12" ht="16.5" x14ac:dyDescent="0.3">
      <c r="A8" s="164"/>
      <c r="B8" s="163"/>
      <c r="C8" s="168" t="str">
        <f>'Fourrages  2019'!B24</f>
        <v xml:space="preserve">ENRUBANNE </v>
      </c>
      <c r="D8" s="153">
        <f>'Fourrages  2019'!I24</f>
        <v>0</v>
      </c>
      <c r="E8" s="172">
        <f>'Fourrages  2019'!I26</f>
        <v>0</v>
      </c>
      <c r="F8" s="152">
        <f>'Fourrages  2019'!I60</f>
        <v>0</v>
      </c>
      <c r="G8" s="171">
        <f>'Fourrages  2019'!I62</f>
        <v>0</v>
      </c>
      <c r="H8" s="152">
        <f>'Fourrages  2019'!I103</f>
        <v>0</v>
      </c>
      <c r="I8" s="171">
        <f>'Fourrages  2019'!I105</f>
        <v>0</v>
      </c>
      <c r="J8" s="161">
        <f t="shared" ref="J8:J13" si="0">D8+F8+H8</f>
        <v>0</v>
      </c>
      <c r="K8" s="181">
        <f t="shared" ref="K8:K12" si="1">E8+G8+I8</f>
        <v>0</v>
      </c>
    </row>
    <row r="9" spans="1:12" ht="16.5" x14ac:dyDescent="0.3">
      <c r="A9" s="164"/>
      <c r="B9" s="163"/>
      <c r="C9" s="168" t="str">
        <f>'Fourrages  2019'!B28</f>
        <v xml:space="preserve">ENSILAGE d'HERBE (1) </v>
      </c>
      <c r="D9" s="153">
        <f>'Fourrages  2019'!I28</f>
        <v>0</v>
      </c>
      <c r="E9" s="172">
        <f>'Fourrages  2019'!I30</f>
        <v>0</v>
      </c>
      <c r="F9" s="152">
        <f>'Fourrages  2019'!I64</f>
        <v>0</v>
      </c>
      <c r="G9" s="171">
        <f>'Fourrages  2019'!I66</f>
        <v>0</v>
      </c>
      <c r="H9" s="152">
        <f>'Fourrages  2019'!I107</f>
        <v>0</v>
      </c>
      <c r="I9" s="171">
        <f>'Fourrages  2019'!I109</f>
        <v>0</v>
      </c>
      <c r="J9" s="161">
        <f t="shared" si="0"/>
        <v>0</v>
      </c>
      <c r="K9" s="181">
        <f t="shared" si="1"/>
        <v>0</v>
      </c>
    </row>
    <row r="10" spans="1:12" ht="16.5" x14ac:dyDescent="0.3">
      <c r="B10" s="163"/>
      <c r="C10" s="168" t="str">
        <f>'Fourrages  2019'!B32</f>
        <v>ENSILAGE de MAÏS (1)</v>
      </c>
      <c r="D10" s="153">
        <f>'Fourrages  2019'!I32</f>
        <v>0</v>
      </c>
      <c r="E10" s="172">
        <f>'Fourrages  2019'!I34</f>
        <v>0</v>
      </c>
      <c r="F10" s="152">
        <f>'Fourrages  2019'!I68</f>
        <v>0</v>
      </c>
      <c r="G10" s="171">
        <f>'Fourrages  2019'!I70</f>
        <v>0</v>
      </c>
      <c r="H10" s="152">
        <f>'Fourrages  2019'!I111</f>
        <v>0</v>
      </c>
      <c r="I10" s="171">
        <f>'Fourrages  2019'!I113</f>
        <v>0</v>
      </c>
      <c r="J10" s="161">
        <f t="shared" si="0"/>
        <v>0</v>
      </c>
      <c r="K10" s="181">
        <f t="shared" si="1"/>
        <v>0</v>
      </c>
    </row>
    <row r="11" spans="1:12" ht="16.5" x14ac:dyDescent="0.3">
      <c r="B11" s="163"/>
      <c r="C11" s="168" t="str">
        <f>'Fourrages  2019'!B36</f>
        <v>ENSILAGE de SORGHO (1)</v>
      </c>
      <c r="D11" s="153">
        <f>'Fourrages  2019'!I36</f>
        <v>0</v>
      </c>
      <c r="E11" s="172">
        <f>'Fourrages  2019'!I38</f>
        <v>0</v>
      </c>
      <c r="F11" s="152">
        <f>'Fourrages  2019'!I72</f>
        <v>0</v>
      </c>
      <c r="G11" s="171">
        <f>'Fourrages  2019'!I74</f>
        <v>0</v>
      </c>
      <c r="H11" s="152">
        <f>'Fourrages  2019'!I115</f>
        <v>0</v>
      </c>
      <c r="I11" s="171">
        <f>'Fourrages  2019'!I117</f>
        <v>0</v>
      </c>
      <c r="J11" s="161">
        <f t="shared" si="0"/>
        <v>0</v>
      </c>
      <c r="K11" s="181">
        <f t="shared" si="1"/>
        <v>0</v>
      </c>
    </row>
    <row r="12" spans="1:12" ht="16.5" x14ac:dyDescent="0.3">
      <c r="B12" s="163"/>
      <c r="C12" s="169" t="str">
        <f>'Fourrages  2019'!B40</f>
        <v xml:space="preserve">Autre fourrage en balle </v>
      </c>
      <c r="D12" s="153">
        <f>'Fourrages  2019'!I40</f>
        <v>0</v>
      </c>
      <c r="E12" s="172">
        <f>'Fourrages  2019'!I42</f>
        <v>0</v>
      </c>
      <c r="F12" s="152">
        <f>'Fourrages  2019'!I76</f>
        <v>0</v>
      </c>
      <c r="G12" s="171">
        <f>'Fourrages  2019'!I78</f>
        <v>0</v>
      </c>
      <c r="H12" s="152">
        <f>'Fourrages  2019'!I119</f>
        <v>0</v>
      </c>
      <c r="I12" s="171">
        <f>'Fourrages  2019'!I121</f>
        <v>0</v>
      </c>
      <c r="J12" s="161">
        <f t="shared" si="0"/>
        <v>0</v>
      </c>
      <c r="K12" s="181">
        <f t="shared" si="1"/>
        <v>0</v>
      </c>
    </row>
    <row r="13" spans="1:12" ht="17.25" thickBot="1" x14ac:dyDescent="0.35">
      <c r="B13" s="163"/>
      <c r="C13" s="170" t="str">
        <f>'Fourrages  2019'!B44</f>
        <v xml:space="preserve">Sorgho Fourrager </v>
      </c>
      <c r="D13" s="165">
        <f>'Fourrages  2019'!I44</f>
        <v>0</v>
      </c>
      <c r="E13" s="173">
        <f>'Fourrages  2019'!I46</f>
        <v>0</v>
      </c>
      <c r="F13" s="175">
        <f>'Fourrages  2019'!I80</f>
        <v>0</v>
      </c>
      <c r="G13" s="171">
        <f>'Fourrages  2019'!I82</f>
        <v>0</v>
      </c>
      <c r="H13" s="152">
        <f>'Fourrages  2019'!I123</f>
        <v>0</v>
      </c>
      <c r="I13" s="228">
        <f>'Fourrages  2019'!I125</f>
        <v>0</v>
      </c>
      <c r="J13" s="162">
        <f t="shared" si="0"/>
        <v>0</v>
      </c>
      <c r="K13" s="182">
        <f>E13+G13+I13</f>
        <v>0</v>
      </c>
    </row>
    <row r="14" spans="1:12" ht="17.25" thickBot="1" x14ac:dyDescent="0.35">
      <c r="B14" s="163"/>
      <c r="C14" s="166" t="s">
        <v>121</v>
      </c>
      <c r="D14" s="179">
        <f>SUM(D6:D13)</f>
        <v>0</v>
      </c>
      <c r="E14" s="174">
        <f>SUM(E6:E13)</f>
        <v>0</v>
      </c>
      <c r="F14" s="176">
        <f>SUM(F6:F13)</f>
        <v>0</v>
      </c>
      <c r="G14" s="174">
        <f t="shared" ref="G14:K14" si="2">SUM(G6:G13)</f>
        <v>0</v>
      </c>
      <c r="H14" s="227">
        <f t="shared" si="2"/>
        <v>0</v>
      </c>
      <c r="I14" s="177">
        <f t="shared" si="2"/>
        <v>0</v>
      </c>
      <c r="J14" s="176">
        <f>SUM(J6:J13)</f>
        <v>0</v>
      </c>
      <c r="K14" s="177">
        <f t="shared" si="2"/>
        <v>0</v>
      </c>
      <c r="L14" s="178"/>
    </row>
    <row r="15" spans="1:12" x14ac:dyDescent="0.25">
      <c r="B15" s="164"/>
    </row>
    <row r="18" spans="2:15" ht="26.25" x14ac:dyDescent="0.4">
      <c r="B18" s="183" t="s">
        <v>157</v>
      </c>
      <c r="C18" s="184"/>
      <c r="G18" s="326" t="s">
        <v>267</v>
      </c>
      <c r="H18" s="318"/>
      <c r="I18" s="318"/>
      <c r="J18" s="318"/>
      <c r="K18" s="328" t="b">
        <v>1</v>
      </c>
    </row>
    <row r="20" spans="2:15" ht="15.75" thickBot="1" x14ac:dyDescent="0.3"/>
    <row r="21" spans="2:15" ht="22.5" customHeight="1" thickBot="1" x14ac:dyDescent="0.3">
      <c r="C21" s="186"/>
      <c r="D21" s="206" t="s">
        <v>159</v>
      </c>
    </row>
    <row r="22" spans="2:15" ht="15.75" thickBot="1" x14ac:dyDescent="0.3">
      <c r="C22" s="185" t="s">
        <v>10</v>
      </c>
      <c r="D22" s="200"/>
    </row>
    <row r="23" spans="2:15" ht="69.75" customHeight="1" x14ac:dyDescent="0.25">
      <c r="B23" s="186"/>
      <c r="C23" s="187" t="s">
        <v>18</v>
      </c>
      <c r="D23" s="356">
        <f>'Besoins animaux'!K20</f>
        <v>0</v>
      </c>
      <c r="G23" s="614" t="s">
        <v>249</v>
      </c>
      <c r="H23" s="614"/>
      <c r="I23" s="207">
        <f>'impression (2)'!T137-'impression (2)'!Q119</f>
        <v>0</v>
      </c>
      <c r="J23" s="220" t="s">
        <v>220</v>
      </c>
      <c r="K23" s="220"/>
    </row>
    <row r="24" spans="2:15" x14ac:dyDescent="0.25">
      <c r="B24" s="186"/>
      <c r="C24" s="188" t="s">
        <v>20</v>
      </c>
      <c r="D24" s="198">
        <f>'Besoins animaux'!K22</f>
        <v>0</v>
      </c>
    </row>
    <row r="25" spans="2:15" x14ac:dyDescent="0.25">
      <c r="B25" s="186"/>
      <c r="C25" s="188" t="s">
        <v>21</v>
      </c>
      <c r="D25" s="198">
        <f>'Besoins animaux'!K23</f>
        <v>0</v>
      </c>
      <c r="F25" s="203"/>
    </row>
    <row r="26" spans="2:15" ht="15.75" x14ac:dyDescent="0.25">
      <c r="B26" s="186"/>
      <c r="C26" s="188" t="s">
        <v>22</v>
      </c>
      <c r="D26" s="198">
        <f>'Besoins animaux'!K24</f>
        <v>0</v>
      </c>
      <c r="G26" s="234" t="str">
        <f>"Les besoins totaux de vos animaux sont de "&amp;'impression (2)'!Q119&amp;" t de MS et vous avez produit "&amp;'impression (2)'!T137&amp;" T de MS en 2019."</f>
        <v>Les besoins totaux de vos animaux sont de 0 t de MS et vous avez produit 0 T de MS en 2019.</v>
      </c>
      <c r="H26" s="221"/>
      <c r="I26" s="221"/>
      <c r="J26" s="221"/>
      <c r="K26" s="221"/>
      <c r="L26" s="221"/>
      <c r="M26" s="221"/>
      <c r="N26" s="221"/>
      <c r="O26" s="221"/>
    </row>
    <row r="27" spans="2:15" ht="15.75" thickBot="1" x14ac:dyDescent="0.3">
      <c r="B27" s="186"/>
      <c r="C27" s="187" t="s">
        <v>23</v>
      </c>
      <c r="D27" s="199">
        <f>'Besoins animaux'!K26</f>
        <v>0</v>
      </c>
      <c r="G27" s="221" t="str">
        <f>"Votre "&amp;'impression (2)'!M66&amp;" est de "&amp;'impression (2)'!R130&amp;" t de MS."</f>
        <v>Votre déficit est de 0 t de MS.</v>
      </c>
      <c r="H27" s="221"/>
      <c r="I27" s="221"/>
      <c r="J27" s="221"/>
      <c r="K27" s="221"/>
      <c r="L27" s="221"/>
      <c r="M27" s="221"/>
      <c r="N27" s="221"/>
      <c r="O27" s="221"/>
    </row>
    <row r="28" spans="2:15" ht="15.75" thickBot="1" x14ac:dyDescent="0.3">
      <c r="C28" s="201" t="s">
        <v>26</v>
      </c>
      <c r="D28" s="189"/>
      <c r="E28" s="178"/>
    </row>
    <row r="29" spans="2:15" ht="15.75" x14ac:dyDescent="0.25">
      <c r="C29" s="190" t="s">
        <v>27</v>
      </c>
      <c r="D29" s="191">
        <f>'Besoins animaux'!K34</f>
        <v>0</v>
      </c>
      <c r="G29" s="234" t="e">
        <f>"D'après votre production et les besoins de vos animaux vous pouvez couvrir "&amp;'impression (2)'!P136&amp;" % de vos besoins."</f>
        <v>#DIV/0!</v>
      </c>
      <c r="H29" s="221"/>
      <c r="I29" s="221"/>
      <c r="J29" s="221"/>
      <c r="K29" s="221"/>
      <c r="L29" s="221"/>
      <c r="M29" s="221"/>
      <c r="N29" s="221"/>
      <c r="O29" s="221"/>
    </row>
    <row r="30" spans="2:15" x14ac:dyDescent="0.25">
      <c r="C30" s="194" t="s">
        <v>20</v>
      </c>
      <c r="D30" s="195">
        <f>'Besoins animaux'!K36</f>
        <v>0</v>
      </c>
      <c r="G30" s="221" t="str">
        <f>"Vous avez également consommé "&amp;'impression (2)'!N52&amp;" t de MS ce qui représente actuellement "&amp;'impression (2)'!N60&amp;"% de votre récolte 2019"</f>
        <v>Vous avez également consommé 0 t de MS ce qui représente actuellement 0% de votre récolte 2019</v>
      </c>
      <c r="H30" s="221"/>
      <c r="I30" s="221"/>
      <c r="J30" s="221"/>
      <c r="K30" s="221"/>
      <c r="L30" s="221"/>
      <c r="M30" s="221"/>
      <c r="N30" s="221"/>
      <c r="O30" s="221"/>
    </row>
    <row r="31" spans="2:15" x14ac:dyDescent="0.25">
      <c r="C31" s="194" t="s">
        <v>21</v>
      </c>
      <c r="D31" s="195">
        <f>'Besoins animaux'!K37</f>
        <v>0</v>
      </c>
      <c r="G31" s="221" t="e">
        <f>"Il vous reste donc "&amp;'impression (2)'!M111&amp;" t de MS de votre production qui vont couvrir "&amp;'impression (2)'!M116&amp;"% de vos besoins."</f>
        <v>#DIV/0!</v>
      </c>
      <c r="H31" s="221"/>
      <c r="I31" s="221"/>
      <c r="J31" s="221"/>
      <c r="K31" s="221"/>
      <c r="L31" s="221"/>
      <c r="M31" s="221"/>
      <c r="N31" s="221"/>
      <c r="O31" s="221"/>
    </row>
    <row r="32" spans="2:15" x14ac:dyDescent="0.25">
      <c r="C32" s="194" t="s">
        <v>22</v>
      </c>
      <c r="D32" s="195">
        <f>'Besoins animaux'!K38</f>
        <v>0</v>
      </c>
    </row>
    <row r="33" spans="3:15" x14ac:dyDescent="0.25">
      <c r="C33" s="194" t="s">
        <v>28</v>
      </c>
      <c r="D33" s="195">
        <f>'Besoins animaux'!K40</f>
        <v>0</v>
      </c>
      <c r="G33" s="221" t="e">
        <f>"Votre hivernage calculé est de "&amp;'impression (2)'!P99&amp;" jours avec "&amp;'impression (2)'!S94&amp;" UGB. En revanche, si vous deviez affourager à partir"</f>
        <v>#DIV/0!</v>
      </c>
      <c r="H33" s="221"/>
      <c r="I33" s="221"/>
      <c r="J33" s="221"/>
      <c r="K33" s="221"/>
      <c r="L33" s="221"/>
      <c r="M33" s="221"/>
      <c r="N33" s="221"/>
      <c r="O33" s="221"/>
    </row>
    <row r="34" spans="3:15" x14ac:dyDescent="0.25">
      <c r="C34" s="196" t="s">
        <v>29</v>
      </c>
      <c r="D34" s="195">
        <f>'Besoins animaux'!K42</f>
        <v>0</v>
      </c>
      <c r="G34" s="345" t="e">
        <f>"d'aujourd'hui, du "&amp;'impression (2)'!G133&amp;" jusqu'au "&amp;'impression (2)'!I150&amp;" ("&amp;'impression (2)'!G137&amp;" jours), vos besoins seraient de "&amp;'impression (2)'!M105&amp;" t de MS."</f>
        <v>#VALUE!</v>
      </c>
      <c r="H34" s="221"/>
      <c r="I34" s="221"/>
      <c r="J34" s="221"/>
      <c r="K34" s="221"/>
      <c r="L34" s="221"/>
      <c r="M34" s="221"/>
      <c r="N34" s="221"/>
      <c r="O34" s="221"/>
    </row>
    <row r="35" spans="3:15" x14ac:dyDescent="0.25">
      <c r="C35" s="196" t="s">
        <v>35</v>
      </c>
      <c r="D35" s="195">
        <f>'Besoins animaux'!K44</f>
        <v>0</v>
      </c>
      <c r="G35" s="221" t="e">
        <f>"Votre récolte de l'année moins ce qui a déjà été consommé couvrirait alors que "&amp;'impression (2)'!M122&amp;"% de besoins. Il vous"</f>
        <v>#VALUE!</v>
      </c>
      <c r="H35" s="221"/>
      <c r="I35" s="221"/>
      <c r="J35" s="221"/>
      <c r="K35" s="221"/>
      <c r="L35" s="221"/>
      <c r="M35" s="221"/>
      <c r="N35" s="221"/>
      <c r="O35" s="221"/>
    </row>
    <row r="36" spans="3:15" x14ac:dyDescent="0.25">
      <c r="C36" s="196" t="s">
        <v>35</v>
      </c>
      <c r="D36" s="195">
        <f>'Besoins animaux'!K46</f>
        <v>0</v>
      </c>
      <c r="G36" s="221" t="e">
        <f>"manquerait "&amp;'impression (2)'!M125&amp;" t de MS."</f>
        <v>#VALUE!</v>
      </c>
      <c r="H36" s="221"/>
      <c r="I36" s="221"/>
      <c r="J36" s="221"/>
      <c r="K36" s="221"/>
      <c r="L36" s="221"/>
      <c r="M36" s="221"/>
      <c r="N36" s="221"/>
      <c r="O36" s="221"/>
    </row>
    <row r="37" spans="3:15" ht="15.75" thickBot="1" x14ac:dyDescent="0.3">
      <c r="C37" s="197" t="s">
        <v>35</v>
      </c>
      <c r="D37" s="193">
        <f>'Besoins animaux'!K48</f>
        <v>0</v>
      </c>
    </row>
    <row r="38" spans="3:15" ht="15.75" thickBot="1" x14ac:dyDescent="0.3">
      <c r="C38" s="202" t="s">
        <v>30</v>
      </c>
      <c r="D38" s="189"/>
    </row>
    <row r="39" spans="3:15" x14ac:dyDescent="0.25">
      <c r="C39" s="190" t="s">
        <v>31</v>
      </c>
      <c r="D39" s="191">
        <f>'Besoins animaux'!K57</f>
        <v>0</v>
      </c>
      <c r="G39" s="236" t="s">
        <v>241</v>
      </c>
      <c r="H39" s="236"/>
      <c r="I39" s="236"/>
      <c r="J39" s="236"/>
      <c r="K39" s="236"/>
      <c r="L39" s="236"/>
      <c r="M39" s="236"/>
      <c r="N39" s="236"/>
      <c r="O39" s="236"/>
    </row>
    <row r="40" spans="3:15" ht="15.75" thickBot="1" x14ac:dyDescent="0.3">
      <c r="C40" s="192" t="s">
        <v>32</v>
      </c>
      <c r="D40" s="193">
        <f>'Besoins animaux'!K59</f>
        <v>0</v>
      </c>
      <c r="G40" s="236" t="s">
        <v>242</v>
      </c>
      <c r="H40" s="236"/>
      <c r="I40" s="236"/>
      <c r="J40" s="236"/>
      <c r="K40" s="236"/>
      <c r="L40" s="236"/>
      <c r="M40" s="236"/>
      <c r="N40" s="236"/>
      <c r="O40" s="236"/>
    </row>
    <row r="41" spans="3:15" ht="15.75" thickBot="1" x14ac:dyDescent="0.3">
      <c r="D41" s="16"/>
    </row>
    <row r="42" spans="3:15" ht="15.75" thickBot="1" x14ac:dyDescent="0.3">
      <c r="C42" s="204" t="s">
        <v>158</v>
      </c>
      <c r="D42" s="205">
        <f>SUM(D23:D40)</f>
        <v>0</v>
      </c>
    </row>
    <row r="45" spans="3:15" x14ac:dyDescent="0.25">
      <c r="D45" s="222" t="e">
        <f>(100*J14)/D42</f>
        <v>#DIV/0!</v>
      </c>
      <c r="E45" s="222" t="e">
        <f>+ROUND(D45,2)</f>
        <v>#DIV/0!</v>
      </c>
    </row>
  </sheetData>
  <sheetProtection password="E909" sheet="1" objects="1" scenarios="1" selectLockedCells="1"/>
  <mergeCells count="5">
    <mergeCell ref="J4:K4"/>
    <mergeCell ref="H4:I4"/>
    <mergeCell ref="F4:G4"/>
    <mergeCell ref="D4:E4"/>
    <mergeCell ref="G23:H23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22" workbookViewId="0">
      <selection activeCell="C16" sqref="C16"/>
    </sheetView>
  </sheetViews>
  <sheetFormatPr baseColWidth="10" defaultRowHeight="15" x14ac:dyDescent="0.25"/>
  <cols>
    <col min="10" max="13" width="6.7109375" customWidth="1"/>
    <col min="266" max="269" width="6.7109375" customWidth="1"/>
    <col min="522" max="525" width="6.7109375" customWidth="1"/>
    <col min="778" max="781" width="6.7109375" customWidth="1"/>
    <col min="1034" max="1037" width="6.7109375" customWidth="1"/>
    <col min="1290" max="1293" width="6.7109375" customWidth="1"/>
    <col min="1546" max="1549" width="6.7109375" customWidth="1"/>
    <col min="1802" max="1805" width="6.7109375" customWidth="1"/>
    <col min="2058" max="2061" width="6.7109375" customWidth="1"/>
    <col min="2314" max="2317" width="6.7109375" customWidth="1"/>
    <col min="2570" max="2573" width="6.7109375" customWidth="1"/>
    <col min="2826" max="2829" width="6.7109375" customWidth="1"/>
    <col min="3082" max="3085" width="6.7109375" customWidth="1"/>
    <col min="3338" max="3341" width="6.7109375" customWidth="1"/>
    <col min="3594" max="3597" width="6.7109375" customWidth="1"/>
    <col min="3850" max="3853" width="6.7109375" customWidth="1"/>
    <col min="4106" max="4109" width="6.7109375" customWidth="1"/>
    <col min="4362" max="4365" width="6.7109375" customWidth="1"/>
    <col min="4618" max="4621" width="6.7109375" customWidth="1"/>
    <col min="4874" max="4877" width="6.7109375" customWidth="1"/>
    <col min="5130" max="5133" width="6.7109375" customWidth="1"/>
    <col min="5386" max="5389" width="6.7109375" customWidth="1"/>
    <col min="5642" max="5645" width="6.7109375" customWidth="1"/>
    <col min="5898" max="5901" width="6.7109375" customWidth="1"/>
    <col min="6154" max="6157" width="6.7109375" customWidth="1"/>
    <col min="6410" max="6413" width="6.7109375" customWidth="1"/>
    <col min="6666" max="6669" width="6.7109375" customWidth="1"/>
    <col min="6922" max="6925" width="6.7109375" customWidth="1"/>
    <col min="7178" max="7181" width="6.7109375" customWidth="1"/>
    <col min="7434" max="7437" width="6.7109375" customWidth="1"/>
    <col min="7690" max="7693" width="6.7109375" customWidth="1"/>
    <col min="7946" max="7949" width="6.7109375" customWidth="1"/>
    <col min="8202" max="8205" width="6.7109375" customWidth="1"/>
    <col min="8458" max="8461" width="6.7109375" customWidth="1"/>
    <col min="8714" max="8717" width="6.7109375" customWidth="1"/>
    <col min="8970" max="8973" width="6.7109375" customWidth="1"/>
    <col min="9226" max="9229" width="6.7109375" customWidth="1"/>
    <col min="9482" max="9485" width="6.7109375" customWidth="1"/>
    <col min="9738" max="9741" width="6.7109375" customWidth="1"/>
    <col min="9994" max="9997" width="6.7109375" customWidth="1"/>
    <col min="10250" max="10253" width="6.7109375" customWidth="1"/>
    <col min="10506" max="10509" width="6.7109375" customWidth="1"/>
    <col min="10762" max="10765" width="6.7109375" customWidth="1"/>
    <col min="11018" max="11021" width="6.7109375" customWidth="1"/>
    <col min="11274" max="11277" width="6.7109375" customWidth="1"/>
    <col min="11530" max="11533" width="6.7109375" customWidth="1"/>
    <col min="11786" max="11789" width="6.7109375" customWidth="1"/>
    <col min="12042" max="12045" width="6.7109375" customWidth="1"/>
    <col min="12298" max="12301" width="6.7109375" customWidth="1"/>
    <col min="12554" max="12557" width="6.7109375" customWidth="1"/>
    <col min="12810" max="12813" width="6.7109375" customWidth="1"/>
    <col min="13066" max="13069" width="6.7109375" customWidth="1"/>
    <col min="13322" max="13325" width="6.7109375" customWidth="1"/>
    <col min="13578" max="13581" width="6.7109375" customWidth="1"/>
    <col min="13834" max="13837" width="6.7109375" customWidth="1"/>
    <col min="14090" max="14093" width="6.7109375" customWidth="1"/>
    <col min="14346" max="14349" width="6.7109375" customWidth="1"/>
    <col min="14602" max="14605" width="6.7109375" customWidth="1"/>
    <col min="14858" max="14861" width="6.7109375" customWidth="1"/>
    <col min="15114" max="15117" width="6.7109375" customWidth="1"/>
    <col min="15370" max="15373" width="6.7109375" customWidth="1"/>
    <col min="15626" max="15629" width="6.7109375" customWidth="1"/>
    <col min="15882" max="15885" width="6.7109375" customWidth="1"/>
    <col min="16138" max="16141" width="6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3"/>
      <c r="I1" s="4"/>
      <c r="J1" s="4"/>
    </row>
    <row r="2" spans="1:10" x14ac:dyDescent="0.25">
      <c r="A2" s="1"/>
      <c r="B2" s="1"/>
      <c r="C2" s="1"/>
      <c r="D2" s="1"/>
      <c r="E2" s="1"/>
      <c r="F2" s="1"/>
      <c r="G2" s="1"/>
      <c r="H2" s="3"/>
      <c r="I2" s="4"/>
      <c r="J2" s="4"/>
    </row>
    <row r="3" spans="1:10" x14ac:dyDescent="0.25">
      <c r="A3" s="1"/>
      <c r="B3" s="1"/>
      <c r="C3" s="1"/>
      <c r="D3" s="1"/>
      <c r="E3" s="1"/>
      <c r="F3" s="1"/>
      <c r="G3" s="1"/>
      <c r="H3" s="3"/>
      <c r="I3" s="4"/>
      <c r="J3" s="4"/>
    </row>
    <row r="4" spans="1:10" x14ac:dyDescent="0.25">
      <c r="A4" s="1"/>
      <c r="B4" s="1"/>
      <c r="C4" s="1"/>
      <c r="D4" s="1"/>
      <c r="E4" s="1"/>
      <c r="F4" s="1"/>
      <c r="G4" s="1"/>
      <c r="H4" s="3"/>
      <c r="I4" s="4"/>
      <c r="J4" s="4"/>
    </row>
    <row r="5" spans="1:10" ht="15.75" x14ac:dyDescent="0.25">
      <c r="A5" s="1"/>
      <c r="B5" s="1"/>
      <c r="C5" s="66"/>
      <c r="D5" s="67" t="s">
        <v>37</v>
      </c>
      <c r="E5" s="66"/>
      <c r="F5" s="1"/>
      <c r="G5" s="1"/>
      <c r="H5" s="1"/>
    </row>
    <row r="6" spans="1:10" x14ac:dyDescent="0.25">
      <c r="A6" s="1"/>
      <c r="B6" s="1"/>
      <c r="C6" s="66"/>
      <c r="D6" s="68" t="s">
        <v>38</v>
      </c>
      <c r="E6" s="66"/>
      <c r="F6" s="1"/>
      <c r="G6" s="1"/>
      <c r="H6" s="1"/>
    </row>
    <row r="7" spans="1:10" x14ac:dyDescent="0.25">
      <c r="A7" s="1"/>
      <c r="B7" s="1"/>
      <c r="C7" s="1"/>
      <c r="D7" s="1"/>
      <c r="E7" s="1"/>
      <c r="F7" s="1"/>
      <c r="G7" s="1"/>
      <c r="H7" s="1"/>
    </row>
    <row r="8" spans="1:10" x14ac:dyDescent="0.25">
      <c r="A8" s="1"/>
      <c r="B8" s="1"/>
      <c r="C8" s="1"/>
      <c r="D8" s="1"/>
      <c r="E8" s="1"/>
      <c r="F8" s="1"/>
      <c r="G8" s="1"/>
      <c r="H8" s="1"/>
    </row>
    <row r="9" spans="1:10" x14ac:dyDescent="0.25">
      <c r="A9" s="1"/>
      <c r="B9" s="69"/>
      <c r="C9" s="69" t="s">
        <v>39</v>
      </c>
      <c r="D9" s="1"/>
      <c r="E9" s="1"/>
      <c r="F9" s="1"/>
      <c r="G9" s="1"/>
      <c r="H9" s="1"/>
    </row>
    <row r="10" spans="1:10" x14ac:dyDescent="0.25">
      <c r="A10" s="1"/>
      <c r="B10" s="1"/>
      <c r="C10" s="1"/>
      <c r="D10" s="1"/>
      <c r="E10" s="1"/>
      <c r="F10" s="1"/>
      <c r="G10" s="1"/>
      <c r="H10" s="1"/>
    </row>
    <row r="11" spans="1:10" ht="15.75" x14ac:dyDescent="0.25">
      <c r="A11" s="8" t="s">
        <v>40</v>
      </c>
      <c r="B11" s="1"/>
      <c r="C11" s="1"/>
      <c r="D11" s="1"/>
      <c r="E11" s="1"/>
      <c r="F11" s="1"/>
      <c r="G11" s="1"/>
      <c r="H11" s="1"/>
    </row>
    <row r="12" spans="1:10" x14ac:dyDescent="0.25">
      <c r="A12" s="70" t="s">
        <v>72</v>
      </c>
      <c r="B12" s="1"/>
      <c r="C12" s="1"/>
      <c r="D12" s="1"/>
      <c r="E12" s="1"/>
      <c r="F12" s="1"/>
      <c r="G12" s="1"/>
      <c r="H12" s="1"/>
    </row>
    <row r="13" spans="1:10" x14ac:dyDescent="0.25">
      <c r="A13" s="6" t="s">
        <v>73</v>
      </c>
      <c r="B13" s="1"/>
      <c r="C13" s="1"/>
      <c r="D13" s="1"/>
      <c r="E13" s="1"/>
      <c r="F13" s="1"/>
      <c r="G13" s="1"/>
      <c r="H13" s="1"/>
    </row>
    <row r="14" spans="1:10" x14ac:dyDescent="0.25">
      <c r="A14" s="1"/>
      <c r="B14" s="615" t="s">
        <v>42</v>
      </c>
      <c r="C14" s="615"/>
      <c r="D14" s="615" t="s">
        <v>43</v>
      </c>
      <c r="E14" s="615"/>
      <c r="F14" s="615" t="s">
        <v>44</v>
      </c>
      <c r="G14" s="615"/>
      <c r="H14" s="1"/>
    </row>
    <row r="15" spans="1:10" x14ac:dyDescent="0.25">
      <c r="A15" s="1"/>
      <c r="B15" s="616"/>
      <c r="C15" s="617"/>
      <c r="D15" s="618"/>
      <c r="E15" s="619"/>
      <c r="F15" s="620">
        <f>IF(AND(B15&gt;0,D15&gt;0),30*B15+2*D15+60,0)</f>
        <v>0</v>
      </c>
      <c r="G15" s="621"/>
      <c r="H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13" x14ac:dyDescent="0.25">
      <c r="A17" s="6" t="s">
        <v>74</v>
      </c>
      <c r="B17" s="1"/>
      <c r="C17" s="1"/>
      <c r="D17" s="1"/>
      <c r="E17" s="1"/>
      <c r="F17" s="1"/>
      <c r="G17" s="1"/>
      <c r="H17" s="1"/>
    </row>
    <row r="18" spans="1:13" x14ac:dyDescent="0.25">
      <c r="A18" s="1"/>
      <c r="B18" s="615" t="s">
        <v>42</v>
      </c>
      <c r="C18" s="615"/>
      <c r="D18" s="615" t="s">
        <v>43</v>
      </c>
      <c r="E18" s="615"/>
      <c r="F18" s="615" t="s">
        <v>44</v>
      </c>
      <c r="G18" s="615"/>
      <c r="H18" s="1"/>
    </row>
    <row r="19" spans="1:13" x14ac:dyDescent="0.25">
      <c r="A19" s="1"/>
      <c r="B19" s="618"/>
      <c r="C19" s="619"/>
      <c r="D19" s="618"/>
      <c r="E19" s="619"/>
      <c r="F19" s="620">
        <f>IF(AND(B19&gt;0,D19&gt;0),27*B19+1.8*D19+54,0)</f>
        <v>0</v>
      </c>
      <c r="G19" s="621"/>
      <c r="H19" s="1"/>
    </row>
    <row r="20" spans="1:13" x14ac:dyDescent="0.25">
      <c r="A20" s="1"/>
      <c r="B20" s="1"/>
      <c r="C20" s="1"/>
      <c r="D20" s="1"/>
      <c r="E20" s="1"/>
      <c r="F20" s="1"/>
      <c r="G20" s="71"/>
      <c r="H20" s="1"/>
    </row>
    <row r="21" spans="1:13" x14ac:dyDescent="0.25">
      <c r="A21" s="70" t="s">
        <v>75</v>
      </c>
      <c r="B21" s="1"/>
      <c r="C21" s="1"/>
      <c r="D21" s="1"/>
      <c r="E21" s="1"/>
      <c r="F21" s="1"/>
      <c r="G21" s="1"/>
      <c r="H21" s="1"/>
    </row>
    <row r="22" spans="1:13" x14ac:dyDescent="0.25">
      <c r="A22" s="6" t="s">
        <v>41</v>
      </c>
      <c r="B22" s="1"/>
      <c r="C22" s="1"/>
      <c r="D22" s="1"/>
      <c r="E22" s="1"/>
      <c r="F22" s="1"/>
      <c r="G22" s="1"/>
      <c r="H22" s="1"/>
    </row>
    <row r="23" spans="1:13" x14ac:dyDescent="0.25">
      <c r="A23" s="1"/>
      <c r="B23" s="615" t="s">
        <v>42</v>
      </c>
      <c r="C23" s="615"/>
      <c r="D23" s="615" t="s">
        <v>43</v>
      </c>
      <c r="E23" s="615"/>
      <c r="F23" s="615" t="s">
        <v>44</v>
      </c>
      <c r="G23" s="615"/>
      <c r="H23" s="1"/>
    </row>
    <row r="24" spans="1:13" x14ac:dyDescent="0.25">
      <c r="A24" s="1"/>
      <c r="B24" s="616">
        <v>0</v>
      </c>
      <c r="C24" s="617"/>
      <c r="D24" s="618">
        <v>0</v>
      </c>
      <c r="E24" s="619"/>
      <c r="F24" s="620">
        <f>IF(AND(B24&gt;0,D24&gt;0),16*B24+5*D24+34,0)</f>
        <v>0</v>
      </c>
      <c r="G24" s="621"/>
      <c r="H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</row>
    <row r="26" spans="1:13" x14ac:dyDescent="0.25">
      <c r="A26" s="6" t="s">
        <v>45</v>
      </c>
      <c r="B26" s="1"/>
      <c r="C26" s="1"/>
      <c r="D26" s="1"/>
      <c r="E26" s="1"/>
      <c r="F26" s="1"/>
      <c r="G26" s="1"/>
      <c r="H26" s="1"/>
    </row>
    <row r="27" spans="1:13" x14ac:dyDescent="0.25">
      <c r="A27" s="1"/>
      <c r="B27" s="615" t="s">
        <v>42</v>
      </c>
      <c r="C27" s="615"/>
      <c r="D27" s="615" t="s">
        <v>43</v>
      </c>
      <c r="E27" s="615"/>
      <c r="F27" s="615" t="s">
        <v>44</v>
      </c>
      <c r="G27" s="615"/>
      <c r="H27" s="1"/>
    </row>
    <row r="28" spans="1:13" x14ac:dyDescent="0.25">
      <c r="A28" s="1"/>
      <c r="B28" s="618"/>
      <c r="C28" s="619"/>
      <c r="D28" s="618"/>
      <c r="E28" s="619"/>
      <c r="F28" s="620">
        <f>IF(AND(B28&gt;0,D28&gt;0),7*B28+3.7*D28+74,0)</f>
        <v>0</v>
      </c>
      <c r="G28" s="621"/>
      <c r="H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4"/>
      <c r="J29" s="14"/>
      <c r="K29" s="14"/>
      <c r="L29" s="14"/>
      <c r="M29" s="14"/>
    </row>
    <row r="30" spans="1:13" ht="15.75" x14ac:dyDescent="0.25">
      <c r="A30" s="8" t="s">
        <v>46</v>
      </c>
      <c r="B30" s="1"/>
      <c r="C30" s="1"/>
      <c r="D30" s="1"/>
      <c r="E30" s="1"/>
      <c r="F30" s="1"/>
      <c r="G30" s="1"/>
      <c r="H30" s="1"/>
      <c r="I30" s="72" t="s">
        <v>47</v>
      </c>
      <c r="J30" s="72"/>
      <c r="K30" s="72"/>
      <c r="L30" s="72"/>
      <c r="M30" s="72"/>
    </row>
    <row r="31" spans="1:13" x14ac:dyDescent="0.25">
      <c r="A31" s="73" t="s">
        <v>48</v>
      </c>
      <c r="B31" s="1"/>
      <c r="C31" s="73" t="s">
        <v>49</v>
      </c>
      <c r="D31" s="1"/>
      <c r="E31" s="74"/>
      <c r="F31" s="73" t="s">
        <v>50</v>
      </c>
      <c r="G31" s="75"/>
      <c r="H31" s="1" t="s">
        <v>51</v>
      </c>
      <c r="I31" s="76" t="s">
        <v>52</v>
      </c>
      <c r="J31" s="77">
        <v>42</v>
      </c>
      <c r="K31" s="78">
        <v>46</v>
      </c>
      <c r="L31" s="78">
        <v>51</v>
      </c>
      <c r="M31" s="79">
        <v>55</v>
      </c>
    </row>
    <row r="32" spans="1:13" x14ac:dyDescent="0.25">
      <c r="A32" s="73" t="s">
        <v>53</v>
      </c>
      <c r="B32" s="1"/>
      <c r="C32" s="73" t="s">
        <v>54</v>
      </c>
      <c r="D32" s="1"/>
      <c r="E32" s="74"/>
      <c r="F32" s="73" t="s">
        <v>55</v>
      </c>
      <c r="G32" s="75" t="str">
        <f>IF(AND(E32="",E31=""),"",IF(AND(E31&gt;0,E32=""),"",IF(AND(E32&gt;0,E31=""),"","Renseignez une seule case")))</f>
        <v/>
      </c>
      <c r="H32" s="1"/>
      <c r="I32" s="80" t="s">
        <v>56</v>
      </c>
      <c r="J32" s="81">
        <v>25</v>
      </c>
      <c r="K32" s="82">
        <v>30</v>
      </c>
      <c r="L32" s="82">
        <v>35</v>
      </c>
      <c r="M32" s="83">
        <v>40</v>
      </c>
    </row>
    <row r="33" spans="1:13" x14ac:dyDescent="0.25">
      <c r="A33" s="6" t="s">
        <v>41</v>
      </c>
      <c r="B33" s="1"/>
      <c r="C33" s="1"/>
      <c r="D33" s="1"/>
      <c r="E33" s="84" t="str">
        <f>IF(E31&gt;15,E31,IF(E32&gt;20,E32*1.134-22.5,""))</f>
        <v/>
      </c>
      <c r="F33" s="1"/>
      <c r="G33" s="1"/>
      <c r="H33" s="1"/>
      <c r="I33" s="14"/>
      <c r="J33" s="14"/>
      <c r="K33" s="14"/>
      <c r="L33" s="14"/>
      <c r="M33" s="14"/>
    </row>
    <row r="34" spans="1:13" x14ac:dyDescent="0.25">
      <c r="A34" s="6"/>
      <c r="B34" s="615" t="s">
        <v>42</v>
      </c>
      <c r="C34" s="615"/>
      <c r="D34" s="615" t="s">
        <v>43</v>
      </c>
      <c r="E34" s="615"/>
      <c r="F34" s="615" t="s">
        <v>44</v>
      </c>
      <c r="G34" s="615"/>
      <c r="H34" s="1"/>
      <c r="I34" s="14"/>
      <c r="J34" s="14"/>
      <c r="K34" s="14"/>
      <c r="L34" s="14"/>
      <c r="M34" s="14"/>
    </row>
    <row r="35" spans="1:13" x14ac:dyDescent="0.25">
      <c r="A35" s="1"/>
      <c r="B35" s="618">
        <v>0</v>
      </c>
      <c r="C35" s="619"/>
      <c r="D35" s="618">
        <v>0</v>
      </c>
      <c r="E35" s="619"/>
      <c r="F35" s="620">
        <f>IF(AND(B35&gt;0,D35&gt;0,E33&lt;&gt;""),(929-17.5*D35+7.9*E33+44*B35)*D35/100,IF(AND(B35&gt;0,D35&gt;0),(929-17.5*D35+7.9*28+44*B35)*D35/100,0))</f>
        <v>0</v>
      </c>
      <c r="G35" s="621"/>
      <c r="H35" s="1"/>
      <c r="I35" s="14"/>
      <c r="J35" s="14"/>
      <c r="K35" s="14"/>
      <c r="L35" s="14"/>
      <c r="M35" s="14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4"/>
      <c r="J36" s="14"/>
      <c r="K36" s="14"/>
      <c r="L36" s="14"/>
      <c r="M36" s="14"/>
    </row>
    <row r="37" spans="1:13" x14ac:dyDescent="0.25">
      <c r="A37" s="6" t="s">
        <v>45</v>
      </c>
      <c r="B37" s="1"/>
      <c r="C37" s="1"/>
      <c r="D37" s="1"/>
      <c r="E37" s="1"/>
      <c r="F37" s="1"/>
      <c r="G37" s="1"/>
      <c r="H37" s="1"/>
      <c r="I37" s="14"/>
      <c r="J37" s="14"/>
      <c r="K37" s="14"/>
      <c r="L37" s="14"/>
      <c r="M37" s="14"/>
    </row>
    <row r="38" spans="1:13" x14ac:dyDescent="0.25">
      <c r="A38" s="6"/>
      <c r="B38" s="1"/>
      <c r="C38" s="1"/>
      <c r="D38" s="1"/>
      <c r="E38" s="1"/>
      <c r="F38" s="1"/>
      <c r="G38" s="1"/>
      <c r="H38" s="1"/>
      <c r="I38" s="14"/>
      <c r="J38" s="14"/>
      <c r="K38" s="14"/>
      <c r="L38" s="14"/>
      <c r="M38" s="14"/>
    </row>
    <row r="39" spans="1:13" x14ac:dyDescent="0.25">
      <c r="A39" s="1"/>
      <c r="B39" s="615" t="s">
        <v>42</v>
      </c>
      <c r="C39" s="615"/>
      <c r="D39" s="615" t="s">
        <v>43</v>
      </c>
      <c r="E39" s="615"/>
      <c r="F39" s="615" t="s">
        <v>44</v>
      </c>
      <c r="G39" s="615"/>
      <c r="H39" s="1"/>
      <c r="I39" s="14"/>
      <c r="J39" s="14"/>
      <c r="K39" s="14"/>
      <c r="L39" s="14"/>
      <c r="M39" s="14"/>
    </row>
    <row r="40" spans="1:13" x14ac:dyDescent="0.25">
      <c r="A40" s="1"/>
      <c r="B40" s="618"/>
      <c r="C40" s="619"/>
      <c r="D40" s="618"/>
      <c r="E40" s="619"/>
      <c r="F40" s="620">
        <f>IF(AND(B40&gt;0,D40&gt;0,E33&lt;&gt;""),(874-14.5*D40+4.2*E33+48*B40)*D40/100,IF(AND(B40&gt;0,D40&gt;0),(874-14.5*D40+4.2*28+48*B40)*D40/100,0))</f>
        <v>0</v>
      </c>
      <c r="G40" s="621"/>
      <c r="H40" s="1"/>
      <c r="I40" s="14"/>
      <c r="J40" s="14"/>
      <c r="K40" s="14"/>
      <c r="L40" s="14"/>
      <c r="M40" s="14"/>
    </row>
    <row r="41" spans="1:13" x14ac:dyDescent="0.25">
      <c r="A41" s="1"/>
      <c r="B41" s="1"/>
      <c r="C41" s="1"/>
      <c r="D41" s="1"/>
      <c r="E41" s="1"/>
      <c r="F41" s="1"/>
      <c r="G41" s="71"/>
      <c r="H41" s="1"/>
      <c r="I41" s="14"/>
      <c r="J41" s="14"/>
      <c r="K41" s="14"/>
      <c r="L41" s="14"/>
      <c r="M41" s="14"/>
    </row>
    <row r="42" spans="1:13" x14ac:dyDescent="0.25">
      <c r="A42" s="1" t="s">
        <v>76</v>
      </c>
      <c r="B42" s="1"/>
      <c r="C42" s="1"/>
      <c r="D42" s="1"/>
      <c r="E42" s="1"/>
      <c r="F42" s="1"/>
      <c r="G42" s="1"/>
      <c r="H42" s="1"/>
      <c r="I42" s="14"/>
      <c r="J42" s="14"/>
      <c r="K42" s="14"/>
      <c r="L42" s="14"/>
      <c r="M42" s="14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4"/>
    </row>
    <row r="44" spans="1:13" ht="15.75" x14ac:dyDescent="0.25">
      <c r="A44" s="8" t="s">
        <v>77</v>
      </c>
      <c r="B44" s="1"/>
      <c r="C44" s="1"/>
      <c r="D44" s="1"/>
      <c r="E44" s="1"/>
      <c r="F44" s="1"/>
      <c r="G44" s="1"/>
      <c r="H44" s="1"/>
      <c r="I44" s="14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4"/>
    </row>
    <row r="46" spans="1:13" x14ac:dyDescent="0.25">
      <c r="A46" s="1"/>
      <c r="B46" s="622" t="s">
        <v>78</v>
      </c>
      <c r="C46" s="623"/>
      <c r="D46" s="85">
        <v>30</v>
      </c>
      <c r="E46" s="85">
        <v>40</v>
      </c>
      <c r="F46" s="85">
        <v>50</v>
      </c>
      <c r="G46" s="85">
        <v>60</v>
      </c>
      <c r="H46" s="1"/>
      <c r="I46" s="1"/>
    </row>
    <row r="47" spans="1:13" x14ac:dyDescent="0.25">
      <c r="A47" s="1"/>
      <c r="B47" s="86" t="s">
        <v>89</v>
      </c>
      <c r="C47" s="86"/>
      <c r="D47" s="85">
        <v>570</v>
      </c>
      <c r="E47" s="85">
        <v>490</v>
      </c>
      <c r="F47" s="85">
        <v>440</v>
      </c>
      <c r="G47" s="85">
        <v>400</v>
      </c>
      <c r="H47" s="1"/>
      <c r="I47" s="1"/>
    </row>
    <row r="48" spans="1:13" x14ac:dyDescent="0.25">
      <c r="A48" s="1"/>
      <c r="B48" s="86" t="s">
        <v>79</v>
      </c>
      <c r="C48" s="86"/>
      <c r="D48" s="85">
        <v>170</v>
      </c>
      <c r="E48" s="85">
        <v>195</v>
      </c>
      <c r="F48" s="85">
        <v>220</v>
      </c>
      <c r="G48" s="85">
        <v>240</v>
      </c>
      <c r="H48" s="1"/>
      <c r="I48" s="1"/>
    </row>
    <row r="49" spans="1:9" x14ac:dyDescent="0.25">
      <c r="A49" s="1"/>
      <c r="B49" s="87"/>
      <c r="C49" s="87"/>
      <c r="D49" s="37"/>
      <c r="E49" s="37"/>
      <c r="F49" s="37"/>
      <c r="G49" s="37"/>
      <c r="H49" s="1"/>
      <c r="I49" s="1"/>
    </row>
    <row r="50" spans="1:9" x14ac:dyDescent="0.25">
      <c r="A50" s="49" t="s">
        <v>80</v>
      </c>
      <c r="B50" s="1"/>
      <c r="C50" s="1"/>
      <c r="D50" s="1"/>
      <c r="E50" s="1"/>
      <c r="F50" s="1"/>
      <c r="G50" s="1"/>
      <c r="H50" s="1"/>
      <c r="I50" s="14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4"/>
    </row>
    <row r="52" spans="1:9" ht="15.75" x14ac:dyDescent="0.25">
      <c r="A52" s="8" t="s">
        <v>57</v>
      </c>
      <c r="B52" s="1"/>
      <c r="C52" s="1"/>
      <c r="D52" s="1"/>
      <c r="E52" s="1"/>
      <c r="F52" s="1"/>
      <c r="G52" s="1"/>
      <c r="H52" s="1"/>
      <c r="I52" s="14"/>
    </row>
    <row r="53" spans="1:9" x14ac:dyDescent="0.25">
      <c r="A53" s="1"/>
      <c r="B53" s="1"/>
      <c r="C53" s="1"/>
      <c r="D53" s="624" t="s">
        <v>6</v>
      </c>
      <c r="E53" s="624"/>
      <c r="F53" s="624" t="s">
        <v>58</v>
      </c>
      <c r="G53" s="624"/>
      <c r="H53" s="1"/>
      <c r="I53" s="14"/>
    </row>
    <row r="54" spans="1:9" x14ac:dyDescent="0.25">
      <c r="A54" s="6"/>
      <c r="B54" s="615" t="s">
        <v>59</v>
      </c>
      <c r="C54" s="615"/>
      <c r="D54" s="615" t="s">
        <v>90</v>
      </c>
      <c r="E54" s="615"/>
      <c r="F54" s="615" t="s">
        <v>60</v>
      </c>
      <c r="G54" s="615"/>
      <c r="H54" s="1"/>
      <c r="I54" s="14"/>
    </row>
    <row r="55" spans="1:9" x14ac:dyDescent="0.25">
      <c r="A55" s="1"/>
      <c r="B55" s="625">
        <v>0.9</v>
      </c>
      <c r="C55" s="626"/>
      <c r="D55" s="620" t="s">
        <v>61</v>
      </c>
      <c r="E55" s="621"/>
      <c r="F55" s="620" t="s">
        <v>81</v>
      </c>
      <c r="G55" s="621"/>
      <c r="H55" s="1"/>
      <c r="I55" s="14"/>
    </row>
    <row r="56" spans="1:9" x14ac:dyDescent="0.25">
      <c r="A56" s="1"/>
      <c r="B56" s="625">
        <v>1.2</v>
      </c>
      <c r="C56" s="626"/>
      <c r="D56" s="620" t="s">
        <v>62</v>
      </c>
      <c r="E56" s="621"/>
      <c r="F56" s="620" t="s">
        <v>69</v>
      </c>
      <c r="G56" s="621"/>
      <c r="H56" s="1"/>
      <c r="I56" s="14"/>
    </row>
    <row r="57" spans="1:9" x14ac:dyDescent="0.25">
      <c r="A57" s="1"/>
      <c r="B57" s="625">
        <v>1.5</v>
      </c>
      <c r="C57" s="626"/>
      <c r="D57" s="620" t="s">
        <v>63</v>
      </c>
      <c r="E57" s="621"/>
      <c r="F57" s="620" t="s">
        <v>82</v>
      </c>
      <c r="G57" s="621"/>
      <c r="H57" s="1"/>
      <c r="I57" s="14"/>
    </row>
    <row r="58" spans="1:9" x14ac:dyDescent="0.25">
      <c r="A58" s="1"/>
      <c r="B58" s="625">
        <v>1.8</v>
      </c>
      <c r="C58" s="626"/>
      <c r="D58" s="620" t="s">
        <v>64</v>
      </c>
      <c r="E58" s="621"/>
      <c r="F58" s="620" t="s">
        <v>83</v>
      </c>
      <c r="G58" s="621"/>
      <c r="H58" s="1"/>
      <c r="I58" s="14"/>
    </row>
    <row r="59" spans="1:9" x14ac:dyDescent="0.25">
      <c r="A59" s="1"/>
      <c r="B59" s="1"/>
      <c r="C59" s="1"/>
      <c r="D59" s="1"/>
      <c r="E59" s="1"/>
      <c r="F59" s="71"/>
      <c r="G59" s="71"/>
      <c r="H59" s="1"/>
      <c r="I59" s="14"/>
    </row>
    <row r="60" spans="1:9" ht="15.75" x14ac:dyDescent="0.25">
      <c r="A60" s="8" t="s">
        <v>84</v>
      </c>
      <c r="B60" s="1"/>
      <c r="C60" s="1"/>
      <c r="D60" s="1"/>
      <c r="E60" s="1"/>
      <c r="F60" s="1"/>
      <c r="G60" s="1"/>
      <c r="H60" s="1"/>
      <c r="I60" s="14"/>
    </row>
    <row r="61" spans="1:9" x14ac:dyDescent="0.25">
      <c r="A61" s="1"/>
      <c r="B61" s="1"/>
      <c r="C61" s="1"/>
      <c r="D61" s="624" t="s">
        <v>6</v>
      </c>
      <c r="E61" s="624"/>
      <c r="F61" s="624" t="s">
        <v>58</v>
      </c>
      <c r="G61" s="624"/>
      <c r="H61" s="1"/>
      <c r="I61" s="14"/>
    </row>
    <row r="62" spans="1:9" x14ac:dyDescent="0.25">
      <c r="A62" s="6"/>
      <c r="B62" s="615" t="s">
        <v>85</v>
      </c>
      <c r="C62" s="615"/>
      <c r="D62" s="615" t="s">
        <v>60</v>
      </c>
      <c r="E62" s="615"/>
      <c r="F62" s="615" t="s">
        <v>60</v>
      </c>
      <c r="G62" s="615"/>
      <c r="H62" s="1"/>
      <c r="I62" s="14"/>
    </row>
    <row r="63" spans="1:9" x14ac:dyDescent="0.25">
      <c r="A63" s="1"/>
      <c r="B63" s="625" t="s">
        <v>86</v>
      </c>
      <c r="C63" s="626"/>
      <c r="D63" s="620" t="s">
        <v>87</v>
      </c>
      <c r="E63" s="621"/>
      <c r="F63" s="620" t="s">
        <v>88</v>
      </c>
      <c r="G63" s="621"/>
      <c r="H63" s="1"/>
      <c r="I63" s="14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4"/>
    </row>
    <row r="65" spans="1:9" ht="15.75" x14ac:dyDescent="0.25">
      <c r="A65" s="8" t="s">
        <v>65</v>
      </c>
      <c r="B65" s="1"/>
      <c r="C65" s="1"/>
      <c r="D65" s="1"/>
      <c r="E65" s="1"/>
      <c r="F65" s="1"/>
      <c r="G65" s="1"/>
      <c r="H65" s="1"/>
      <c r="I65" s="14"/>
    </row>
    <row r="66" spans="1:9" x14ac:dyDescent="0.25">
      <c r="A66" s="1"/>
      <c r="B66" s="615"/>
      <c r="C66" s="615"/>
      <c r="D66" s="624" t="s">
        <v>6</v>
      </c>
      <c r="E66" s="624"/>
      <c r="F66" s="624" t="s">
        <v>58</v>
      </c>
      <c r="G66" s="624"/>
      <c r="H66" s="1"/>
      <c r="I66" s="14"/>
    </row>
    <row r="67" spans="1:9" x14ac:dyDescent="0.25">
      <c r="A67" s="1"/>
      <c r="B67" s="625" t="s">
        <v>66</v>
      </c>
      <c r="C67" s="626"/>
      <c r="D67" s="620" t="s">
        <v>67</v>
      </c>
      <c r="E67" s="621"/>
      <c r="F67" s="620">
        <v>9</v>
      </c>
      <c r="G67" s="621"/>
      <c r="H67" s="1"/>
      <c r="I67" s="14"/>
    </row>
    <row r="68" spans="1:9" x14ac:dyDescent="0.25">
      <c r="A68" s="1"/>
      <c r="B68" s="625" t="s">
        <v>68</v>
      </c>
      <c r="C68" s="626"/>
      <c r="D68" s="620" t="s">
        <v>69</v>
      </c>
      <c r="E68" s="621"/>
      <c r="F68" s="620">
        <v>100</v>
      </c>
      <c r="G68" s="621"/>
      <c r="H68" s="1"/>
      <c r="I68" s="14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4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4"/>
    </row>
    <row r="71" spans="1:9" ht="15.75" x14ac:dyDescent="0.25">
      <c r="A71" s="8" t="s">
        <v>70</v>
      </c>
      <c r="B71" s="1"/>
      <c r="C71" s="1"/>
      <c r="D71" s="1"/>
      <c r="E71" s="1"/>
      <c r="F71" s="1"/>
      <c r="G71" s="1"/>
      <c r="H71" s="1"/>
      <c r="I71" s="14"/>
    </row>
    <row r="72" spans="1:9" x14ac:dyDescent="0.25">
      <c r="A72" s="1"/>
      <c r="B72" s="1"/>
      <c r="C72" s="1"/>
      <c r="D72" s="624" t="s">
        <v>6</v>
      </c>
      <c r="E72" s="624"/>
      <c r="F72" s="1"/>
      <c r="G72" s="1"/>
      <c r="H72" s="1"/>
      <c r="I72" s="14"/>
    </row>
    <row r="73" spans="1:9" x14ac:dyDescent="0.25">
      <c r="A73" s="1"/>
      <c r="B73" s="625" t="s">
        <v>68</v>
      </c>
      <c r="C73" s="626"/>
      <c r="D73" s="620" t="s">
        <v>71</v>
      </c>
      <c r="E73" s="621"/>
      <c r="F73" s="1"/>
      <c r="G73" s="1"/>
      <c r="H73" s="1"/>
      <c r="I73" s="14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4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4"/>
    </row>
  </sheetData>
  <mergeCells count="74">
    <mergeCell ref="B68:C68"/>
    <mergeCell ref="D68:E68"/>
    <mergeCell ref="F68:G68"/>
    <mergeCell ref="D72:E72"/>
    <mergeCell ref="B73:C73"/>
    <mergeCell ref="D73:E73"/>
    <mergeCell ref="B66:C66"/>
    <mergeCell ref="D66:E66"/>
    <mergeCell ref="F66:G66"/>
    <mergeCell ref="B67:C67"/>
    <mergeCell ref="D67:E67"/>
    <mergeCell ref="F67:G67"/>
    <mergeCell ref="B63:C63"/>
    <mergeCell ref="D63:E63"/>
    <mergeCell ref="F63:G63"/>
    <mergeCell ref="B57:C57"/>
    <mergeCell ref="D57:E57"/>
    <mergeCell ref="F57:G57"/>
    <mergeCell ref="B58:C58"/>
    <mergeCell ref="D58:E58"/>
    <mergeCell ref="F58:G58"/>
    <mergeCell ref="D61:E61"/>
    <mergeCell ref="F61:G61"/>
    <mergeCell ref="B62:C62"/>
    <mergeCell ref="D62:E62"/>
    <mergeCell ref="F62:G62"/>
    <mergeCell ref="B55:C55"/>
    <mergeCell ref="D55:E55"/>
    <mergeCell ref="F55:G55"/>
    <mergeCell ref="B56:C56"/>
    <mergeCell ref="D56:E56"/>
    <mergeCell ref="F56:G56"/>
    <mergeCell ref="B46:C46"/>
    <mergeCell ref="D53:E53"/>
    <mergeCell ref="F53:G53"/>
    <mergeCell ref="B54:C54"/>
    <mergeCell ref="D54:E54"/>
    <mergeCell ref="F54:G54"/>
    <mergeCell ref="B39:C39"/>
    <mergeCell ref="D39:E39"/>
    <mergeCell ref="F39:G39"/>
    <mergeCell ref="B40:C40"/>
    <mergeCell ref="D40:E40"/>
    <mergeCell ref="F40:G40"/>
    <mergeCell ref="B34:C34"/>
    <mergeCell ref="D34:E34"/>
    <mergeCell ref="F34:G34"/>
    <mergeCell ref="B35:C35"/>
    <mergeCell ref="D35:E35"/>
    <mergeCell ref="F35:G35"/>
    <mergeCell ref="B27:C27"/>
    <mergeCell ref="D27:E27"/>
    <mergeCell ref="F27:G27"/>
    <mergeCell ref="B28:C28"/>
    <mergeCell ref="D28:E28"/>
    <mergeCell ref="F28:G28"/>
    <mergeCell ref="B23:C23"/>
    <mergeCell ref="D23:E23"/>
    <mergeCell ref="F23:G23"/>
    <mergeCell ref="B24:C24"/>
    <mergeCell ref="D24:E24"/>
    <mergeCell ref="F24:G24"/>
    <mergeCell ref="B18:C18"/>
    <mergeCell ref="D18:E18"/>
    <mergeCell ref="F18:G18"/>
    <mergeCell ref="B19:C19"/>
    <mergeCell ref="D19:E19"/>
    <mergeCell ref="F19:G19"/>
    <mergeCell ref="B14:C14"/>
    <mergeCell ref="D14:E14"/>
    <mergeCell ref="F14:G14"/>
    <mergeCell ref="B15:C15"/>
    <mergeCell ref="D15:E15"/>
    <mergeCell ref="F15:G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Report stocks_2018 (2)</vt:lpstr>
      <vt:lpstr>Accueil</vt:lpstr>
      <vt:lpstr>Report stocks_2018</vt:lpstr>
      <vt:lpstr>Fourrages  2019</vt:lpstr>
      <vt:lpstr>Consommation 2019</vt:lpstr>
      <vt:lpstr>Besoins animaux</vt:lpstr>
      <vt:lpstr>impression (2)</vt:lpstr>
      <vt:lpstr>Bilan 2</vt:lpstr>
      <vt:lpstr>références et tables de densité</vt:lpstr>
      <vt:lpstr>Bilan</vt:lpstr>
      <vt:lpstr>Feuille pour DDT</vt:lpstr>
      <vt:lpstr>'Consommation 2019'!Excel_BuiltIn_Print_Area_1</vt:lpstr>
      <vt:lpstr>'Fourrages  2019'!Excel_BuiltIn_Print_Area_1</vt:lpstr>
      <vt:lpstr>'Report stocks_2018'!Excel_BuiltIn_Print_Area_1</vt:lpstr>
      <vt:lpstr>'Report stocks_2018 (2)'!Excel_BuiltIn_Print_Area_1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Venteau Pierre</dc:creator>
  <cp:lastModifiedBy>FRULEUX Leslie</cp:lastModifiedBy>
  <cp:lastPrinted>2019-08-29T09:14:31Z</cp:lastPrinted>
  <dcterms:created xsi:type="dcterms:W3CDTF">2017-04-06T08:37:14Z</dcterms:created>
  <dcterms:modified xsi:type="dcterms:W3CDTF">2019-09-10T12:59:17Z</dcterms:modified>
</cp:coreProperties>
</file>